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61" yWindow="65191" windowWidth="15630" windowHeight="10425" tabRatio="939" activeTab="0"/>
  </bookViews>
  <sheets>
    <sheet name="Total Benefit Cost" sheetId="1" r:id="rId1"/>
    <sheet name="ATT 1 - Const and Maint" sheetId="2" r:id="rId2"/>
    <sheet name=" ATT 2 - VMT Calculations" sheetId="3" r:id="rId3"/>
    <sheet name="ATT 3a wkst  (V of T) - Projec" sheetId="4" r:id="rId4"/>
    <sheet name="ATT 3b - Value of Time" sheetId="5" r:id="rId5"/>
    <sheet name="ATT 4 - Owne and Oper Costs" sheetId="6" r:id="rId6"/>
    <sheet name="ATT 5a - accdt  Cost VMT" sheetId="7" r:id="rId7"/>
    <sheet name="ATT 5b - Safety Benefit" sheetId="8" r:id="rId8"/>
    <sheet name="x - accdt  South Cost VMT" sheetId="9" r:id="rId9"/>
  </sheets>
  <definedNames/>
  <calcPr fullCalcOnLoad="1"/>
</workbook>
</file>

<file path=xl/sharedStrings.xml><?xml version="1.0" encoding="utf-8"?>
<sst xmlns="http://schemas.openxmlformats.org/spreadsheetml/2006/main" count="396" uniqueCount="190">
  <si>
    <t>Year</t>
  </si>
  <si>
    <t>Activity</t>
  </si>
  <si>
    <t>(Construction)</t>
  </si>
  <si>
    <t>Travel Time Benefit</t>
  </si>
  <si>
    <t>Safety Benefit</t>
  </si>
  <si>
    <t>Vehicle Operation Cost Benefit</t>
  </si>
  <si>
    <t>Discount</t>
  </si>
  <si>
    <t>TOTAL</t>
  </si>
  <si>
    <t>Construction and Maintenance Costs</t>
  </si>
  <si>
    <t>Non-Disc.</t>
  </si>
  <si>
    <t>Base Year</t>
  </si>
  <si>
    <t>Maint</t>
  </si>
  <si>
    <t>Const</t>
  </si>
  <si>
    <t>Const.</t>
  </si>
  <si>
    <t>DIFFERENCE</t>
  </si>
  <si>
    <t>North</t>
  </si>
  <si>
    <t>South</t>
  </si>
  <si>
    <t>Growth Rate</t>
  </si>
  <si>
    <t>ADT</t>
  </si>
  <si>
    <t>Truck Percent</t>
  </si>
  <si>
    <t>(VOT per vehicle / length)</t>
  </si>
  <si>
    <t>Value of time saved per VMT</t>
  </si>
  <si>
    <t>(VOT per hour * time saved / 60)</t>
  </si>
  <si>
    <t>Value of time saved per vehicle</t>
  </si>
  <si>
    <t>(delay without - delay with)</t>
  </si>
  <si>
    <t>Trucks</t>
  </si>
  <si>
    <t>Autos</t>
  </si>
  <si>
    <t>Calculations</t>
  </si>
  <si>
    <t>Inputs</t>
  </si>
  <si>
    <t>Segment Length (mi.)</t>
  </si>
  <si>
    <t>Analysis Year</t>
  </si>
  <si>
    <t>Date Performed</t>
  </si>
  <si>
    <t>Analysis Time Period</t>
  </si>
  <si>
    <t>Project</t>
  </si>
  <si>
    <t>Segment</t>
  </si>
  <si>
    <t>AHTD</t>
  </si>
  <si>
    <t>Agency/Company</t>
  </si>
  <si>
    <t>Facility</t>
  </si>
  <si>
    <t>Analyst</t>
  </si>
  <si>
    <t>Site Information</t>
  </si>
  <si>
    <t>General Information</t>
  </si>
  <si>
    <t>North Annual VMT</t>
  </si>
  <si>
    <t>South Annual VMT</t>
  </si>
  <si>
    <t>Auto</t>
  </si>
  <si>
    <t>Passenger</t>
  </si>
  <si>
    <t>TOTAL VMT</t>
  </si>
  <si>
    <t>Truck</t>
  </si>
  <si>
    <t>Length</t>
  </si>
  <si>
    <t>Benefit per Truck VMT</t>
  </si>
  <si>
    <t>Benefit per Auto VMT</t>
  </si>
  <si>
    <t>Benefit per South VMT</t>
  </si>
  <si>
    <t>(without - with)</t>
  </si>
  <si>
    <t>All Accidents</t>
  </si>
  <si>
    <t>Fatal</t>
  </si>
  <si>
    <t>Accident Cost Savings per VMT:</t>
  </si>
  <si>
    <t>(fatal + injury + P.D.O.)</t>
  </si>
  <si>
    <t>Accident Cost per VMT (all types)</t>
  </si>
  <si>
    <t>(acc. per mm #VMT * cost / 1000000)</t>
  </si>
  <si>
    <t>Accident Cost per VMT</t>
  </si>
  <si>
    <t>(accidents per year*1000000/VMT )</t>
  </si>
  <si>
    <t>Accidents per Million VMT:</t>
  </si>
  <si>
    <t>Number of P.D.O. Accidents per Year</t>
  </si>
  <si>
    <t>Number of Injury Accidents per Year</t>
  </si>
  <si>
    <t>Number of Fatal Accidents per Year</t>
  </si>
  <si>
    <t>Accidents can be calculated from the following:
Eq. 5-16 (urban highways), Eq. 5-17 (rural road segments), Eqs 5-18, 5-19, 5-20 (rural intersections), Eq 5-22 and Table 5-10 and Table 5-11 (urban intersections), Table 5-12, Table 5-13, Table 5-14 (Left turns and access management improvements).  If both observed and predicted accident information are available, the without improvement accidents should be adjusted using the Empirical Bayes method (Equation 5-21 and Table 5-9)</t>
  </si>
  <si>
    <t># of Accidents</t>
  </si>
  <si>
    <t>With Improvement</t>
  </si>
  <si>
    <t>Without Improvement</t>
  </si>
  <si>
    <t>From Table 5-17</t>
  </si>
  <si>
    <t>Accident Cost (net of insurance reimbursement):</t>
  </si>
  <si>
    <t xml:space="preserve">Value of Time </t>
  </si>
  <si>
    <t>SAFETY BENEFIT</t>
  </si>
  <si>
    <t>Oper. and Ownership Savings / VMT</t>
  </si>
  <si>
    <t>(operating + ownership)</t>
  </si>
  <si>
    <t>with improvement</t>
  </si>
  <si>
    <t>without improvement</t>
  </si>
  <si>
    <t>Oper. and Ownership Cost per VMT</t>
  </si>
  <si>
    <t>(vehicle + insurance + inventory)</t>
  </si>
  <si>
    <t>(vehicle + insurance)</t>
  </si>
  <si>
    <t>Ownership Cost per VMT</t>
  </si>
  <si>
    <t>Insurance Cost per VMT</t>
  </si>
  <si>
    <t>Vehicle Cost per VMT</t>
  </si>
  <si>
    <t>Amortized Vehicle Cost per VMT</t>
  </si>
  <si>
    <t>(cost per hour / miles per hour)</t>
  </si>
  <si>
    <t>Inventory Cost per Mile:</t>
  </si>
  <si>
    <t>(Equation 5-10)</t>
  </si>
  <si>
    <t>Inventory Cost per Hour</t>
  </si>
  <si>
    <t>(Equation 5-6)</t>
  </si>
  <si>
    <t>Amortized Vehicle Cost Per Year:</t>
  </si>
  <si>
    <t>(fuel cost per VMT + other oper. cost)</t>
  </si>
  <si>
    <t>Total Operating Cost per VMT:</t>
  </si>
  <si>
    <t>(cost per gallon X gallons per mile)</t>
  </si>
  <si>
    <t>Fuel Cost per VMT (Equation 5-3):</t>
  </si>
  <si>
    <t>Insurance per Year</t>
  </si>
  <si>
    <t>Insurance per Year (Table 5-3)</t>
  </si>
  <si>
    <t>Cargo Value</t>
  </si>
  <si>
    <t>Miles per Year</t>
  </si>
  <si>
    <t>Salvage Value at End of Life</t>
  </si>
  <si>
    <t>Vehicle Cost</t>
  </si>
  <si>
    <t>Vehicle Life (years)</t>
  </si>
  <si>
    <t>(tires, maintenance, etc.)</t>
  </si>
  <si>
    <t>Other Operating Costs per Mile</t>
  </si>
  <si>
    <t>Other Operating Costs per Mile (Table 5-4)</t>
  </si>
  <si>
    <t>Fuel Consumption per Mile (Table 5-5):</t>
  </si>
  <si>
    <t>Fuel Cost Per Gallon</t>
  </si>
  <si>
    <t>Speed (mph):</t>
  </si>
  <si>
    <t>Finance Rate:</t>
  </si>
  <si>
    <t xml:space="preserve">     </t>
  </si>
  <si>
    <t>Non-Fatal</t>
  </si>
  <si>
    <t>User Delay</t>
  </si>
  <si>
    <t>Periodic Maintenance includes 30 days to overlay 2 lanes or 60 days to overlay four lanes</t>
  </si>
  <si>
    <t>Construction is assummed to require 300 work days</t>
  </si>
  <si>
    <t>(Future Year)</t>
  </si>
  <si>
    <t>TOTAL COST (Future Year)</t>
  </si>
  <si>
    <t>TOTAL BENEFIT (Future Year)</t>
  </si>
  <si>
    <t>(Unit Vehicle)</t>
  </si>
  <si>
    <t>3% Discount</t>
  </si>
  <si>
    <t>7% Discount</t>
  </si>
  <si>
    <t xml:space="preserve"> - Discounted Benefit at 3% Discount Rate</t>
  </si>
  <si>
    <t xml:space="preserve"> - Discounted Costs at 3% Discount Rate</t>
  </si>
  <si>
    <t xml:space="preserve"> - B/C at 3% Discount Rate</t>
  </si>
  <si>
    <t xml:space="preserve"> - Discounted Benefit at 7% Discount Rate</t>
  </si>
  <si>
    <t xml:space="preserve"> - Discounted Costs at 7% Discount Rate</t>
  </si>
  <si>
    <t xml:space="preserve"> - B/C at 7% Discount Rate</t>
  </si>
  <si>
    <t>Inflation - All</t>
  </si>
  <si>
    <t>Inflation - Construction Cost</t>
  </si>
  <si>
    <t xml:space="preserve">        </t>
  </si>
  <si>
    <t>Begin LM</t>
  </si>
  <si>
    <t>End LM</t>
  </si>
  <si>
    <t>Route</t>
  </si>
  <si>
    <t>SegLngth</t>
  </si>
  <si>
    <t>WADT</t>
  </si>
  <si>
    <t>USE 6100</t>
  </si>
  <si>
    <t>SUM</t>
  </si>
  <si>
    <t>TR ADT</t>
  </si>
  <si>
    <t>total veh</t>
  </si>
  <si>
    <t>trucks</t>
  </si>
  <si>
    <t>autos</t>
  </si>
  <si>
    <t>TOTAL MILES</t>
  </si>
  <si>
    <t>Project Information</t>
  </si>
  <si>
    <t>County</t>
  </si>
  <si>
    <t>Union/Calhoun</t>
  </si>
  <si>
    <t>Van Buren</t>
  </si>
  <si>
    <t>Combined</t>
  </si>
  <si>
    <t>20 Year</t>
  </si>
  <si>
    <t>New Book, Table 5-1 (Intercity Travel), IS SOME OF THIS BUSINESS?</t>
  </si>
  <si>
    <t>Benefit per VMT</t>
  </si>
  <si>
    <t>Total VMT</t>
  </si>
  <si>
    <t>Annual VMT</t>
  </si>
  <si>
    <t>Days in</t>
  </si>
  <si>
    <t>Crash Cost (net of insurance reimbursement):</t>
  </si>
  <si>
    <t>Worksheet: Operating and Ownership Cost</t>
  </si>
  <si>
    <t>Worksheet: Safety Cost Factors</t>
  </si>
  <si>
    <t>All Injury &amp; Fatal Accidents</t>
  </si>
  <si>
    <t xml:space="preserve">Injury </t>
  </si>
  <si>
    <t>INFLATED $2014</t>
  </si>
  <si>
    <t>Do Nothing</t>
  </si>
  <si>
    <t>Reconstruct As Programmed</t>
  </si>
  <si>
    <t>Reconstruct in 2016</t>
  </si>
  <si>
    <t>I-530 Deteriorates and becomes unusable</t>
  </si>
  <si>
    <t>Traffic would be rerouted to existing roadways through the City of Pine Blufff - this alternative is not considered feasible and was not analyzed.</t>
  </si>
  <si>
    <t>The Interstate would ultimately be closed due to deteriorated pavement conditions.</t>
  </si>
  <si>
    <t>Maintenance would include a 4" Asphalt Concrete (AC) Overlay followed by a 2" AC Overlay with full depth reconstruction in 2022</t>
  </si>
  <si>
    <t>Vehicle operating costs increase due to deteriorating pavement.</t>
  </si>
  <si>
    <t>Road users experience inconvenience of frequent lane closures for maintenance and increased road user costs due to construction activities.</t>
  </si>
  <si>
    <t>Full depth reconstruction in 2016.</t>
  </si>
  <si>
    <t>Scheduled maintenance every 10 years.</t>
  </si>
  <si>
    <t>KKR</t>
  </si>
  <si>
    <t>Jefferson</t>
  </si>
  <si>
    <t>Begin Log Mile</t>
  </si>
  <si>
    <t>End Log Mile</t>
  </si>
  <si>
    <t>Use same cost as RUC worksheet.</t>
  </si>
  <si>
    <t>2014 ADT</t>
  </si>
  <si>
    <t>2034 ADT</t>
  </si>
  <si>
    <t>(2014)</t>
  </si>
  <si>
    <t>Build 2016</t>
  </si>
  <si>
    <t>Build 2022</t>
  </si>
  <si>
    <t>Rehab</t>
  </si>
  <si>
    <t>Construct</t>
  </si>
  <si>
    <t>maint</t>
  </si>
  <si>
    <t>TIGER 6</t>
  </si>
  <si>
    <t>kkr</t>
  </si>
  <si>
    <t>TOTAL BENEFIT (2016)</t>
  </si>
  <si>
    <t>Proposed Construction</t>
  </si>
  <si>
    <t>Existing Construction Year</t>
  </si>
  <si>
    <t>Average Calcuation of VMT</t>
  </si>
  <si>
    <t>TOTAL COST (2014)</t>
  </si>
  <si>
    <t>Construction, Maintenance and Road Usr Costs for Interstate 530 Reconstruction</t>
  </si>
  <si>
    <t>Worksheet 5-3: Accident Cost</t>
  </si>
  <si>
    <t>Rough roads are more than just a nuisance for motorists. Driving on deteriorated roads costs the average urban driver $377 annually – a total of $80 billion nationwide. In areas with the roughest roads, drivers lose as much as $800 each year. These costs include accelerated vehicle depreciation, increased maintenance, additional fuel consumption and tire wear. This is according to a report released by TRIP in October 2013 titled “Bumpy Roads Ahead: America’s Roughest Rides and Strategies to Make our Roads Smoother”.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</si>
</sst>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"/>
    <numFmt numFmtId="166" formatCode="&quot;$&quot;#,##0.00"/>
    <numFmt numFmtId="167" formatCode="&quot;$&quot;#,##0.0000"/>
    <numFmt numFmtId="168" formatCode="0.000"/>
    <numFmt numFmtId="169" formatCode="0.0000"/>
    <numFmt numFmtId="170" formatCode="0.0%"/>
    <numFmt numFmtId="171" formatCode="_(* #,##0.0_);_(* \(#,##0.0\);_(* &quot;-&quot;??_);_(@_)"/>
    <numFmt numFmtId="172" formatCode="_(* #,##0_);_(* \(#,##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2"/>
      <name val="Lucida Handwriting"/>
      <family val="4"/>
    </font>
    <font>
      <b/>
      <sz val="10"/>
      <name val="Helv"/>
      <family val="2"/>
    </font>
    <font>
      <sz val="10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name val="Lucida Handwriting"/>
      <family val="4"/>
    </font>
    <font>
      <b/>
      <sz val="10"/>
      <name val="Lucida Handwriting"/>
      <family val="4"/>
    </font>
    <font>
      <b/>
      <sz val="10"/>
      <color indexed="8"/>
      <name val="Arial"/>
      <family val="2"/>
    </font>
    <font>
      <strike/>
      <sz val="11"/>
      <color indexed="8"/>
      <name val="Calibri"/>
      <family val="2"/>
    </font>
    <font>
      <b/>
      <strike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6"/>
      <color indexed="8"/>
      <name val="Century Schoolboo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6" tint="-0.4999699890613556"/>
      <name val="Calibri"/>
      <family val="2"/>
    </font>
    <font>
      <b/>
      <sz val="10"/>
      <color theme="1"/>
      <name val="Arial"/>
      <family val="2"/>
    </font>
    <font>
      <strike/>
      <sz val="11"/>
      <color theme="1"/>
      <name val="Calibri"/>
      <family val="2"/>
    </font>
    <font>
      <b/>
      <strike/>
      <sz val="11"/>
      <color theme="1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4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9" fillId="0" borderId="0" xfId="0" applyFont="1" applyAlignment="1">
      <alignment/>
    </xf>
    <xf numFmtId="1" fontId="0" fillId="0" borderId="0" xfId="0" applyNumberFormat="1" applyAlignment="1">
      <alignment/>
    </xf>
    <xf numFmtId="0" fontId="45" fillId="0" borderId="0" xfId="55">
      <alignment/>
      <protection/>
    </xf>
    <xf numFmtId="164" fontId="45" fillId="0" borderId="0" xfId="55" applyNumberFormat="1">
      <alignment/>
      <protection/>
    </xf>
    <xf numFmtId="2" fontId="45" fillId="0" borderId="0" xfId="55" applyNumberFormat="1" applyFill="1">
      <alignment/>
      <protection/>
    </xf>
    <xf numFmtId="1" fontId="45" fillId="0" borderId="0" xfId="55" applyNumberFormat="1" applyFill="1">
      <alignment/>
      <protection/>
    </xf>
    <xf numFmtId="165" fontId="45" fillId="0" borderId="0" xfId="55" applyNumberFormat="1">
      <alignment/>
      <protection/>
    </xf>
    <xf numFmtId="0" fontId="45" fillId="0" borderId="0" xfId="55" applyAlignment="1">
      <alignment wrapText="1"/>
      <protection/>
    </xf>
    <xf numFmtId="2" fontId="45" fillId="0" borderId="0" xfId="55" applyNumberFormat="1" applyAlignment="1">
      <alignment wrapText="1"/>
      <protection/>
    </xf>
    <xf numFmtId="1" fontId="45" fillId="0" borderId="0" xfId="55" applyNumberFormat="1" applyFill="1" applyAlignment="1">
      <alignment horizontal="center" wrapText="1"/>
      <protection/>
    </xf>
    <xf numFmtId="0" fontId="45" fillId="0" borderId="0" xfId="55" applyAlignment="1">
      <alignment horizontal="center" wrapText="1"/>
      <protection/>
    </xf>
    <xf numFmtId="166" fontId="45" fillId="0" borderId="0" xfId="55" applyNumberFormat="1">
      <alignment/>
      <protection/>
    </xf>
    <xf numFmtId="9" fontId="45" fillId="0" borderId="0" xfId="55" applyNumberFormat="1">
      <alignment/>
      <protection/>
    </xf>
    <xf numFmtId="0" fontId="45" fillId="0" borderId="0" xfId="55" applyFill="1" applyBorder="1" applyAlignment="1">
      <alignment horizontal="right"/>
      <protection/>
    </xf>
    <xf numFmtId="167" fontId="45" fillId="0" borderId="10" xfId="55" applyNumberFormat="1" applyBorder="1">
      <alignment/>
      <protection/>
    </xf>
    <xf numFmtId="0" fontId="9" fillId="0" borderId="0" xfId="56">
      <alignment/>
      <protection/>
    </xf>
    <xf numFmtId="0" fontId="9" fillId="0" borderId="0" xfId="56" applyAlignment="1">
      <alignment horizontal="right"/>
      <protection/>
    </xf>
    <xf numFmtId="167" fontId="9" fillId="0" borderId="10" xfId="56" applyNumberFormat="1" applyBorder="1">
      <alignment/>
      <protection/>
    </xf>
    <xf numFmtId="167" fontId="9" fillId="0" borderId="10" xfId="56" applyNumberFormat="1" applyBorder="1" applyAlignment="1">
      <alignment/>
      <protection/>
    </xf>
    <xf numFmtId="3" fontId="9" fillId="0" borderId="10" xfId="56" applyNumberFormat="1" applyBorder="1">
      <alignment/>
      <protection/>
    </xf>
    <xf numFmtId="169" fontId="7" fillId="0" borderId="10" xfId="56" applyNumberFormat="1" applyFont="1" applyBorder="1" applyProtection="1">
      <alignment/>
      <protection locked="0"/>
    </xf>
    <xf numFmtId="0" fontId="9" fillId="0" borderId="0" xfId="56" applyAlignment="1">
      <alignment horizontal="left" wrapText="1"/>
      <protection/>
    </xf>
    <xf numFmtId="3" fontId="7" fillId="0" borderId="0" xfId="56" applyNumberFormat="1" applyFont="1" applyBorder="1">
      <alignment/>
      <protection/>
    </xf>
    <xf numFmtId="3" fontId="7" fillId="0" borderId="10" xfId="56" applyNumberFormat="1" applyFont="1" applyBorder="1" applyProtection="1">
      <alignment/>
      <protection locked="0"/>
    </xf>
    <xf numFmtId="0" fontId="9" fillId="0" borderId="0" xfId="56" applyFont="1">
      <alignment/>
      <protection/>
    </xf>
    <xf numFmtId="0" fontId="7" fillId="0" borderId="0" xfId="56" applyFont="1" applyProtection="1">
      <alignment/>
      <protection locked="0"/>
    </xf>
    <xf numFmtId="0" fontId="7" fillId="0" borderId="10" xfId="56" applyFont="1" applyBorder="1" applyProtection="1">
      <alignment/>
      <protection locked="0"/>
    </xf>
    <xf numFmtId="0" fontId="7" fillId="0" borderId="0" xfId="56" applyFont="1" applyBorder="1" applyProtection="1">
      <alignment/>
      <protection locked="0"/>
    </xf>
    <xf numFmtId="0" fontId="9" fillId="0" borderId="0" xfId="56" applyBorder="1">
      <alignment/>
      <protection/>
    </xf>
    <xf numFmtId="0" fontId="6" fillId="0" borderId="0" xfId="56" applyFont="1" applyAlignment="1">
      <alignment horizontal="center"/>
      <protection/>
    </xf>
    <xf numFmtId="0" fontId="8" fillId="0" borderId="0" xfId="56" applyFont="1">
      <alignment/>
      <protection/>
    </xf>
    <xf numFmtId="165" fontId="45" fillId="0" borderId="0" xfId="55" applyNumberFormat="1" applyFill="1">
      <alignment/>
      <protection/>
    </xf>
    <xf numFmtId="0" fontId="0" fillId="0" borderId="10" xfId="0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50" fillId="0" borderId="10" xfId="0" applyNumberFormat="1" applyFon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2" fontId="48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Fill="1" applyBorder="1" applyAlignment="1">
      <alignment horizontal="right"/>
    </xf>
    <xf numFmtId="167" fontId="9" fillId="0" borderId="10" xfId="0" applyNumberFormat="1" applyFont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167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164" fontId="9" fillId="0" borderId="10" xfId="0" applyNumberFormat="1" applyFont="1" applyBorder="1" applyAlignment="1">
      <alignment/>
    </xf>
    <xf numFmtId="164" fontId="12" fillId="0" borderId="10" xfId="0" applyNumberFormat="1" applyFont="1" applyBorder="1" applyAlignment="1" applyProtection="1">
      <alignment/>
      <protection locked="0"/>
    </xf>
    <xf numFmtId="164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Alignment="1">
      <alignment/>
    </xf>
    <xf numFmtId="0" fontId="12" fillId="0" borderId="0" xfId="0" applyFont="1" applyAlignment="1">
      <alignment/>
    </xf>
    <xf numFmtId="3" fontId="12" fillId="0" borderId="10" xfId="0" applyNumberFormat="1" applyFont="1" applyBorder="1" applyAlignment="1" applyProtection="1">
      <alignment/>
      <protection locked="0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/>
    </xf>
    <xf numFmtId="0" fontId="12" fillId="0" borderId="10" xfId="0" applyFont="1" applyBorder="1" applyAlignment="1" applyProtection="1">
      <alignment/>
      <protection locked="0"/>
    </xf>
    <xf numFmtId="165" fontId="12" fillId="0" borderId="10" xfId="0" applyNumberFormat="1" applyFont="1" applyBorder="1" applyAlignment="1" applyProtection="1">
      <alignment/>
      <protection locked="0"/>
    </xf>
    <xf numFmtId="165" fontId="9" fillId="0" borderId="0" xfId="0" applyNumberFormat="1" applyFont="1" applyFill="1" applyBorder="1" applyAlignment="1">
      <alignment horizontal="right"/>
    </xf>
    <xf numFmtId="165" fontId="9" fillId="0" borderId="0" xfId="0" applyNumberFormat="1" applyFont="1" applyAlignment="1">
      <alignment/>
    </xf>
    <xf numFmtId="168" fontId="12" fillId="0" borderId="10" xfId="0" applyNumberFormat="1" applyFont="1" applyBorder="1" applyAlignment="1" applyProtection="1">
      <alignment/>
      <protection locked="0"/>
    </xf>
    <xf numFmtId="168" fontId="9" fillId="0" borderId="0" xfId="0" applyNumberFormat="1" applyFont="1" applyAlignment="1">
      <alignment horizontal="right"/>
    </xf>
    <xf numFmtId="168" fontId="9" fillId="0" borderId="0" xfId="0" applyNumberFormat="1" applyFont="1" applyAlignment="1">
      <alignment/>
    </xf>
    <xf numFmtId="166" fontId="12" fillId="0" borderId="10" xfId="0" applyNumberFormat="1" applyFont="1" applyBorder="1" applyAlignment="1" applyProtection="1">
      <alignment/>
      <protection locked="0"/>
    </xf>
    <xf numFmtId="166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0" fontId="6" fillId="0" borderId="0" xfId="0" applyNumberFormat="1" applyFont="1" applyAlignment="1">
      <alignment horizontal="center"/>
    </xf>
    <xf numFmtId="0" fontId="12" fillId="0" borderId="10" xfId="0" applyFont="1" applyBorder="1" applyAlignment="1" applyProtection="1">
      <alignment/>
      <protection locked="0"/>
    </xf>
    <xf numFmtId="0" fontId="9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70" fontId="9" fillId="0" borderId="1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0" fontId="12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vertical="top"/>
    </xf>
    <xf numFmtId="0" fontId="48" fillId="33" borderId="15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169" fontId="9" fillId="0" borderId="10" xfId="56" applyNumberFormat="1" applyFill="1" applyBorder="1">
      <alignment/>
      <protection/>
    </xf>
    <xf numFmtId="164" fontId="7" fillId="0" borderId="10" xfId="56" applyNumberFormat="1" applyFont="1" applyFill="1" applyBorder="1" applyProtection="1">
      <alignment/>
      <protection locked="0"/>
    </xf>
    <xf numFmtId="0" fontId="9" fillId="0" borderId="0" xfId="56" applyFill="1">
      <alignment/>
      <protection/>
    </xf>
    <xf numFmtId="0" fontId="48" fillId="33" borderId="16" xfId="0" applyFont="1" applyFill="1" applyBorder="1" applyAlignment="1">
      <alignment horizontal="center" wrapText="1"/>
    </xf>
    <xf numFmtId="171" fontId="45" fillId="0" borderId="0" xfId="42" applyNumberFormat="1" applyFont="1" applyAlignment="1">
      <alignment/>
    </xf>
    <xf numFmtId="172" fontId="45" fillId="0" borderId="0" xfId="42" applyNumberFormat="1" applyFont="1" applyAlignment="1">
      <alignment/>
    </xf>
    <xf numFmtId="164" fontId="50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0" fillId="0" borderId="17" xfId="0" applyFont="1" applyBorder="1" applyAlignment="1">
      <alignment horizontal="center" wrapText="1"/>
    </xf>
    <xf numFmtId="10" fontId="0" fillId="0" borderId="0" xfId="59" applyNumberFormat="1" applyFont="1" applyAlignment="1">
      <alignment/>
    </xf>
    <xf numFmtId="0" fontId="0" fillId="0" borderId="10" xfId="0" applyBorder="1" applyAlignment="1">
      <alignment horizontal="center"/>
    </xf>
    <xf numFmtId="0" fontId="45" fillId="0" borderId="0" xfId="55" applyFont="1">
      <alignment/>
      <protection/>
    </xf>
    <xf numFmtId="43" fontId="45" fillId="0" borderId="0" xfId="42" applyFont="1" applyAlignment="1">
      <alignment/>
    </xf>
    <xf numFmtId="43" fontId="45" fillId="0" borderId="0" xfId="55" applyNumberFormat="1">
      <alignment/>
      <protection/>
    </xf>
    <xf numFmtId="43" fontId="45" fillId="0" borderId="0" xfId="55" applyNumberFormat="1" applyFont="1">
      <alignment/>
      <protection/>
    </xf>
    <xf numFmtId="44" fontId="45" fillId="0" borderId="0" xfId="44" applyFont="1" applyAlignment="1">
      <alignment/>
    </xf>
    <xf numFmtId="44" fontId="45" fillId="0" borderId="0" xfId="55" applyNumberFormat="1">
      <alignment/>
      <protection/>
    </xf>
    <xf numFmtId="0" fontId="45" fillId="0" borderId="0" xfId="55" applyFont="1">
      <alignment/>
      <protection/>
    </xf>
    <xf numFmtId="166" fontId="45" fillId="0" borderId="0" xfId="55" applyNumberFormat="1" applyFont="1">
      <alignment/>
      <protection/>
    </xf>
    <xf numFmtId="4" fontId="45" fillId="0" borderId="0" xfId="55" applyNumberFormat="1">
      <alignment/>
      <protection/>
    </xf>
    <xf numFmtId="0" fontId="51" fillId="0" borderId="0" xfId="55" applyFont="1">
      <alignment/>
      <protection/>
    </xf>
    <xf numFmtId="9" fontId="45" fillId="0" borderId="0" xfId="59" applyFont="1" applyAlignment="1">
      <alignment/>
    </xf>
    <xf numFmtId="1" fontId="45" fillId="0" borderId="0" xfId="59" applyNumberFormat="1" applyFont="1" applyAlignment="1">
      <alignment/>
    </xf>
    <xf numFmtId="1" fontId="45" fillId="0" borderId="0" xfId="55" applyNumberFormat="1">
      <alignment/>
      <protection/>
    </xf>
    <xf numFmtId="0" fontId="45" fillId="0" borderId="19" xfId="55" applyFont="1" applyBorder="1">
      <alignment/>
      <protection/>
    </xf>
    <xf numFmtId="0" fontId="45" fillId="0" borderId="20" xfId="55" applyBorder="1">
      <alignment/>
      <protection/>
    </xf>
    <xf numFmtId="9" fontId="45" fillId="0" borderId="21" xfId="59" applyFont="1" applyBorder="1" applyAlignment="1">
      <alignment/>
    </xf>
    <xf numFmtId="1" fontId="45" fillId="0" borderId="20" xfId="55" applyNumberFormat="1" applyBorder="1">
      <alignment/>
      <protection/>
    </xf>
    <xf numFmtId="172" fontId="0" fillId="0" borderId="0" xfId="42" applyNumberFormat="1" applyFont="1" applyAlignment="1">
      <alignment/>
    </xf>
    <xf numFmtId="0" fontId="45" fillId="0" borderId="0" xfId="55" applyAlignment="1">
      <alignment horizontal="center" wrapText="1"/>
      <protection/>
    </xf>
    <xf numFmtId="164" fontId="49" fillId="0" borderId="0" xfId="0" applyNumberFormat="1" applyFont="1" applyFill="1" applyAlignment="1">
      <alignment/>
    </xf>
    <xf numFmtId="0" fontId="0" fillId="0" borderId="0" xfId="0" applyAlignment="1">
      <alignment horizontal="center" wrapText="1"/>
    </xf>
    <xf numFmtId="1" fontId="45" fillId="0" borderId="0" xfId="55" applyNumberFormat="1" applyFill="1" applyAlignment="1">
      <alignment horizontal="center"/>
      <protection/>
    </xf>
    <xf numFmtId="0" fontId="45" fillId="0" borderId="0" xfId="55" applyFont="1">
      <alignment/>
      <protection/>
    </xf>
    <xf numFmtId="0" fontId="45" fillId="0" borderId="0" xfId="55" applyFont="1" applyAlignment="1">
      <alignment horizontal="right"/>
      <protection/>
    </xf>
    <xf numFmtId="9" fontId="0" fillId="34" borderId="0" xfId="0" applyNumberFormat="1" applyFill="1" applyAlignment="1">
      <alignment/>
    </xf>
    <xf numFmtId="172" fontId="45" fillId="0" borderId="0" xfId="55" applyNumberFormat="1">
      <alignment/>
      <protection/>
    </xf>
    <xf numFmtId="1" fontId="45" fillId="0" borderId="0" xfId="55" applyNumberFormat="1" applyFont="1" applyFill="1" applyAlignment="1">
      <alignment horizontal="center" wrapText="1"/>
      <protection/>
    </xf>
    <xf numFmtId="1" fontId="45" fillId="0" borderId="0" xfId="55" applyNumberFormat="1" applyFont="1" applyFill="1" applyAlignment="1">
      <alignment horizontal="center"/>
      <protection/>
    </xf>
    <xf numFmtId="165" fontId="45" fillId="0" borderId="0" xfId="55" applyNumberFormat="1" applyAlignment="1">
      <alignment horizontal="center"/>
      <protection/>
    </xf>
    <xf numFmtId="0" fontId="0" fillId="0" borderId="0" xfId="0" applyAlignment="1">
      <alignment horizontal="center" wrapText="1"/>
    </xf>
    <xf numFmtId="1" fontId="45" fillId="0" borderId="0" xfId="55" applyNumberFormat="1" applyFill="1" applyAlignment="1">
      <alignment horizontal="center"/>
      <protection/>
    </xf>
    <xf numFmtId="0" fontId="0" fillId="0" borderId="11" xfId="0" applyBorder="1" applyAlignment="1">
      <alignment horizontal="right" wrapText="1"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42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Alignment="1">
      <alignment horizontal="right" wrapText="1"/>
    </xf>
    <xf numFmtId="0" fontId="45" fillId="0" borderId="0" xfId="55" applyFont="1">
      <alignment/>
      <protection/>
    </xf>
    <xf numFmtId="0" fontId="45" fillId="0" borderId="0" xfId="55" applyFont="1" applyAlignment="1">
      <alignment horizontal="right"/>
      <protection/>
    </xf>
    <xf numFmtId="0" fontId="45" fillId="35" borderId="0" xfId="55" applyFill="1">
      <alignment/>
      <protection/>
    </xf>
    <xf numFmtId="0" fontId="45" fillId="35" borderId="0" xfId="55" applyFont="1" applyFill="1">
      <alignment/>
      <protection/>
    </xf>
    <xf numFmtId="0" fontId="0" fillId="0" borderId="0" xfId="0" applyAlignment="1">
      <alignment/>
    </xf>
    <xf numFmtId="0" fontId="0" fillId="0" borderId="22" xfId="0" applyBorder="1" applyAlignment="1">
      <alignment/>
    </xf>
    <xf numFmtId="164" fontId="0" fillId="0" borderId="22" xfId="0" applyNumberFormat="1" applyBorder="1" applyAlignment="1">
      <alignment/>
    </xf>
    <xf numFmtId="164" fontId="50" fillId="0" borderId="19" xfId="0" applyNumberFormat="1" applyFont="1" applyBorder="1" applyAlignment="1">
      <alignment/>
    </xf>
    <xf numFmtId="164" fontId="0" fillId="0" borderId="23" xfId="0" applyNumberFormat="1" applyBorder="1" applyAlignment="1">
      <alignment/>
    </xf>
    <xf numFmtId="164" fontId="50" fillId="0" borderId="23" xfId="0" applyNumberFormat="1" applyFont="1" applyBorder="1" applyAlignment="1">
      <alignment/>
    </xf>
    <xf numFmtId="164" fontId="50" fillId="0" borderId="24" xfId="0" applyNumberFormat="1" applyFont="1" applyBorder="1" applyAlignment="1">
      <alignment/>
    </xf>
    <xf numFmtId="164" fontId="0" fillId="0" borderId="25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50" fillId="0" borderId="0" xfId="0" applyNumberFormat="1" applyFont="1" applyBorder="1" applyAlignment="1">
      <alignment/>
    </xf>
    <xf numFmtId="164" fontId="0" fillId="0" borderId="26" xfId="0" applyNumberFormat="1" applyBorder="1" applyAlignment="1">
      <alignment/>
    </xf>
    <xf numFmtId="164" fontId="50" fillId="0" borderId="27" xfId="0" applyNumberFormat="1" applyFont="1" applyBorder="1" applyAlignment="1">
      <alignment/>
    </xf>
    <xf numFmtId="164" fontId="0" fillId="0" borderId="27" xfId="0" applyNumberFormat="1" applyBorder="1" applyAlignment="1">
      <alignment/>
    </xf>
    <xf numFmtId="164" fontId="50" fillId="0" borderId="28" xfId="0" applyNumberFormat="1" applyFont="1" applyBorder="1" applyAlignment="1">
      <alignment/>
    </xf>
    <xf numFmtId="164" fontId="0" fillId="0" borderId="29" xfId="0" applyNumberFormat="1" applyBorder="1" applyAlignment="1">
      <alignment/>
    </xf>
    <xf numFmtId="164" fontId="50" fillId="0" borderId="30" xfId="0" applyNumberFormat="1" applyFont="1" applyBorder="1" applyAlignment="1">
      <alignment/>
    </xf>
    <xf numFmtId="164" fontId="0" fillId="0" borderId="31" xfId="0" applyNumberFormat="1" applyBorder="1" applyAlignment="1">
      <alignment/>
    </xf>
    <xf numFmtId="164" fontId="50" fillId="0" borderId="32" xfId="0" applyNumberFormat="1" applyFont="1" applyBorder="1" applyAlignment="1">
      <alignment/>
    </xf>
    <xf numFmtId="164" fontId="0" fillId="0" borderId="32" xfId="0" applyNumberFormat="1" applyBorder="1" applyAlignment="1">
      <alignment/>
    </xf>
    <xf numFmtId="164" fontId="50" fillId="0" borderId="33" xfId="0" applyNumberFormat="1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right"/>
    </xf>
    <xf numFmtId="0" fontId="53" fillId="0" borderId="0" xfId="0" applyFont="1" applyAlignment="1">
      <alignment/>
    </xf>
    <xf numFmtId="0" fontId="0" fillId="0" borderId="0" xfId="0" applyAlignment="1">
      <alignment horizontal="center" wrapText="1"/>
    </xf>
    <xf numFmtId="164" fontId="45" fillId="0" borderId="0" xfId="55" applyNumberFormat="1" applyFont="1" applyAlignment="1">
      <alignment horizontal="center" wrapText="1"/>
      <protection/>
    </xf>
    <xf numFmtId="164" fontId="45" fillId="0" borderId="0" xfId="55" applyNumberFormat="1" applyAlignment="1">
      <alignment horizontal="center" wrapText="1"/>
      <protection/>
    </xf>
    <xf numFmtId="0" fontId="45" fillId="0" borderId="0" xfId="55" applyAlignment="1">
      <alignment horizontal="center" wrapText="1"/>
      <protection/>
    </xf>
    <xf numFmtId="1" fontId="0" fillId="36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45" fillId="0" borderId="0" xfId="55" applyFont="1">
      <alignment/>
      <protection/>
    </xf>
    <xf numFmtId="0" fontId="48" fillId="33" borderId="34" xfId="0" applyFont="1" applyFill="1" applyBorder="1" applyAlignment="1">
      <alignment horizontal="center" wrapText="1"/>
    </xf>
    <xf numFmtId="0" fontId="48" fillId="33" borderId="35" xfId="0" applyFont="1" applyFill="1" applyBorder="1" applyAlignment="1">
      <alignment horizontal="center" wrapText="1"/>
    </xf>
    <xf numFmtId="0" fontId="48" fillId="33" borderId="36" xfId="0" applyFont="1" applyFill="1" applyBorder="1" applyAlignment="1">
      <alignment horizontal="center" wrapText="1"/>
    </xf>
    <xf numFmtId="0" fontId="48" fillId="33" borderId="37" xfId="0" applyFont="1" applyFill="1" applyBorder="1" applyAlignment="1">
      <alignment horizontal="center" wrapText="1"/>
    </xf>
    <xf numFmtId="164" fontId="48" fillId="33" borderId="34" xfId="0" applyNumberFormat="1" applyFont="1" applyFill="1" applyBorder="1" applyAlignment="1">
      <alignment horizontal="center" wrapText="1"/>
    </xf>
    <xf numFmtId="164" fontId="48" fillId="33" borderId="35" xfId="0" applyNumberFormat="1" applyFont="1" applyFill="1" applyBorder="1" applyAlignment="1">
      <alignment horizontal="center" wrapText="1"/>
    </xf>
    <xf numFmtId="164" fontId="48" fillId="33" borderId="37" xfId="0" applyNumberFormat="1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1" fontId="45" fillId="0" borderId="0" xfId="55" applyNumberFormat="1" applyFill="1" applyAlignment="1">
      <alignment horizontal="center"/>
      <protection/>
    </xf>
    <xf numFmtId="0" fontId="54" fillId="0" borderId="0" xfId="55" applyFont="1" applyAlignment="1">
      <alignment horizontal="center"/>
      <protection/>
    </xf>
    <xf numFmtId="164" fontId="45" fillId="0" borderId="0" xfId="55" applyNumberFormat="1" applyFont="1" applyAlignment="1">
      <alignment horizontal="center" wrapText="1"/>
      <protection/>
    </xf>
    <xf numFmtId="164" fontId="45" fillId="0" borderId="0" xfId="55" applyNumberFormat="1" applyAlignment="1">
      <alignment horizontal="center" wrapText="1"/>
      <protection/>
    </xf>
    <xf numFmtId="164" fontId="45" fillId="0" borderId="0" xfId="55" applyNumberFormat="1" applyFont="1" applyAlignment="1">
      <alignment horizontal="center" wrapText="1"/>
      <protection/>
    </xf>
    <xf numFmtId="0" fontId="45" fillId="0" borderId="0" xfId="55" applyAlignment="1">
      <alignment horizontal="center"/>
      <protection/>
    </xf>
    <xf numFmtId="0" fontId="45" fillId="0" borderId="0" xfId="55" applyAlignment="1">
      <alignment horizontal="center" wrapText="1"/>
      <protection/>
    </xf>
    <xf numFmtId="2" fontId="45" fillId="0" borderId="0" xfId="55" applyNumberFormat="1" applyFill="1" applyAlignment="1">
      <alignment horizontal="center" wrapText="1"/>
      <protection/>
    </xf>
    <xf numFmtId="0" fontId="12" fillId="0" borderId="19" xfId="0" applyFont="1" applyBorder="1" applyAlignment="1" applyProtection="1">
      <alignment horizontal="left"/>
      <protection locked="0"/>
    </xf>
    <xf numFmtId="0" fontId="12" fillId="0" borderId="21" xfId="0" applyFont="1" applyBorder="1" applyAlignment="1" applyProtection="1">
      <alignment horizontal="left"/>
      <protection locked="0"/>
    </xf>
    <xf numFmtId="0" fontId="6" fillId="37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4" fontId="12" fillId="0" borderId="19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7" fillId="0" borderId="19" xfId="56" applyFont="1" applyBorder="1" applyAlignment="1" applyProtection="1">
      <alignment horizontal="left"/>
      <protection locked="0"/>
    </xf>
    <xf numFmtId="0" fontId="7" fillId="0" borderId="21" xfId="56" applyFont="1" applyBorder="1" applyAlignment="1" applyProtection="1">
      <alignment horizontal="left"/>
      <protection locked="0"/>
    </xf>
    <xf numFmtId="0" fontId="9" fillId="0" borderId="0" xfId="56" applyAlignment="1">
      <alignment horizontal="left" wrapText="1"/>
      <protection/>
    </xf>
    <xf numFmtId="0" fontId="6" fillId="37" borderId="0" xfId="56" applyFont="1" applyFill="1" applyAlignment="1">
      <alignment horizontal="center"/>
      <protection/>
    </xf>
    <xf numFmtId="14" fontId="7" fillId="0" borderId="19" xfId="56" applyNumberFormat="1" applyFont="1" applyBorder="1" applyAlignment="1" applyProtection="1">
      <alignment horizontal="left"/>
      <protection locked="0"/>
    </xf>
    <xf numFmtId="0" fontId="6" fillId="0" borderId="0" xfId="56" applyFont="1" applyAlignment="1">
      <alignment horizontal="center"/>
      <protection/>
    </xf>
    <xf numFmtId="0" fontId="8" fillId="0" borderId="0" xfId="56" applyFont="1" applyAlignment="1">
      <alignment horizontal="center"/>
      <protection/>
    </xf>
    <xf numFmtId="0" fontId="55" fillId="0" borderId="0" xfId="55" applyFont="1" applyAlignment="1">
      <alignment horizontal="center"/>
      <protection/>
    </xf>
    <xf numFmtId="164" fontId="45" fillId="0" borderId="0" xfId="55" applyNumberFormat="1" applyFont="1" applyAlignment="1">
      <alignment horizontal="center" wrapText="1"/>
      <protection/>
    </xf>
    <xf numFmtId="165" fontId="45" fillId="0" borderId="0" xfId="55" applyNumberFormat="1" applyFont="1" applyAlignment="1">
      <alignment horizontal="center" wrapText="1"/>
      <protection/>
    </xf>
    <xf numFmtId="165" fontId="45" fillId="0" borderId="0" xfId="55" applyNumberFormat="1" applyAlignment="1">
      <alignment horizontal="center" wrapText="1"/>
      <protection/>
    </xf>
    <xf numFmtId="164" fontId="45" fillId="0" borderId="0" xfId="55" applyNumberFormat="1" applyFont="1" applyAlignment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781050</xdr:colOff>
      <xdr:row>23</xdr:row>
      <xdr:rowOff>123825</xdr:rowOff>
    </xdr:from>
    <xdr:to>
      <xdr:col>13</xdr:col>
      <xdr:colOff>257175</xdr:colOff>
      <xdr:row>31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972175" y="4819650"/>
          <a:ext cx="4838700" cy="1447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entury Schoolbook"/>
              <a:ea typeface="Century Schoolbook"/>
              <a:cs typeface="Century Schoolbook"/>
            </a:rPr>
            <a:t>After r</a:t>
          </a:r>
          <a:r>
            <a:rPr lang="en-US" cap="none" sz="1600" b="0" i="0" u="none" baseline="0">
              <a:solidFill>
                <a:srgbClr val="000000"/>
              </a:solidFill>
              <a:latin typeface="Century Schoolbook"/>
              <a:ea typeface="Century Schoolbook"/>
              <a:cs typeface="Century Schoolbook"/>
            </a:rPr>
            <a:t>econstruction is complete in 2024, </a:t>
          </a:r>
          <a:r>
            <a:rPr lang="en-US" cap="none" sz="1600" b="0" i="0" u="none" baseline="0">
              <a:solidFill>
                <a:srgbClr val="000000"/>
              </a:solidFill>
              <a:latin typeface="Century Schoolbook"/>
              <a:ea typeface="Century Schoolbook"/>
              <a:cs typeface="Century Schoolbook"/>
            </a:rPr>
            <a:t>I-530 would be maintained in good condition</a:t>
          </a:r>
          <a:r>
            <a:rPr lang="en-US" cap="none" sz="1600" b="0" i="0" u="none" baseline="0">
              <a:solidFill>
                <a:srgbClr val="000000"/>
              </a:solidFill>
              <a:latin typeface="Century Schoolbook"/>
              <a:ea typeface="Century Schoolbook"/>
              <a:cs typeface="Century Schoolbook"/>
            </a:rPr>
            <a:t> so that Travel Time, Vehicle Operating Costs, and Safety Benefits would be identical.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0"/>
  <sheetViews>
    <sheetView tabSelected="1" zoomScale="85" zoomScaleNormal="85" zoomScalePageLayoutView="0" workbookViewId="0" topLeftCell="A1">
      <selection activeCell="B8" sqref="B8:O40"/>
    </sheetView>
  </sheetViews>
  <sheetFormatPr defaultColWidth="9.140625" defaultRowHeight="15"/>
  <cols>
    <col min="1" max="1" width="1.7109375" style="0" customWidth="1"/>
    <col min="2" max="2" width="11.7109375" style="0" customWidth="1"/>
    <col min="3" max="3" width="13.00390625" style="0" customWidth="1"/>
    <col min="4" max="4" width="12.140625" style="2" customWidth="1"/>
    <col min="5" max="5" width="12.28125" style="0" customWidth="1"/>
    <col min="6" max="6" width="14.00390625" style="0" customWidth="1"/>
    <col min="7" max="7" width="13.00390625" style="2" customWidth="1"/>
    <col min="8" max="8" width="14.421875" style="2" customWidth="1"/>
    <col min="9" max="9" width="13.421875" style="2" customWidth="1"/>
    <col min="10" max="10" width="13.28125" style="2" customWidth="1"/>
    <col min="11" max="11" width="13.7109375" style="0" customWidth="1"/>
    <col min="12" max="12" width="12.28125" style="0" customWidth="1"/>
    <col min="13" max="13" width="13.28125" style="2" customWidth="1"/>
    <col min="14" max="14" width="13.8515625" style="0" customWidth="1"/>
    <col min="15" max="15" width="14.7109375" style="0" customWidth="1"/>
    <col min="16" max="16" width="0.85546875" style="0" customWidth="1"/>
  </cols>
  <sheetData>
    <row r="1" ht="7.5" customHeight="1"/>
    <row r="2" spans="2:4" ht="15">
      <c r="B2" t="s">
        <v>10</v>
      </c>
      <c r="D2">
        <v>2014</v>
      </c>
    </row>
    <row r="3" spans="2:4" ht="15">
      <c r="B3" t="s">
        <v>6</v>
      </c>
      <c r="D3" s="3">
        <v>0.03</v>
      </c>
    </row>
    <row r="4" spans="2:4" ht="15">
      <c r="B4" t="s">
        <v>6</v>
      </c>
      <c r="D4" s="3">
        <v>0.07</v>
      </c>
    </row>
    <row r="5" spans="2:4" ht="15">
      <c r="B5" t="s">
        <v>124</v>
      </c>
      <c r="D5" s="3">
        <v>0.03</v>
      </c>
    </row>
    <row r="6" spans="2:4" ht="15">
      <c r="B6" t="s">
        <v>125</v>
      </c>
      <c r="C6" s="3"/>
      <c r="D6" s="99">
        <v>0.04</v>
      </c>
    </row>
    <row r="7" ht="15.75" thickBot="1"/>
    <row r="8" spans="1:15" s="1" customFormat="1" ht="45" customHeight="1">
      <c r="A8" s="166"/>
      <c r="B8" s="87" t="s">
        <v>0</v>
      </c>
      <c r="C8" s="92" t="s">
        <v>1</v>
      </c>
      <c r="D8" s="174" t="s">
        <v>8</v>
      </c>
      <c r="E8" s="175"/>
      <c r="F8" s="177"/>
      <c r="G8" s="178" t="s">
        <v>3</v>
      </c>
      <c r="H8" s="179"/>
      <c r="I8" s="180"/>
      <c r="J8" s="174" t="s">
        <v>5</v>
      </c>
      <c r="K8" s="175"/>
      <c r="L8" s="177"/>
      <c r="M8" s="174" t="s">
        <v>4</v>
      </c>
      <c r="N8" s="175"/>
      <c r="O8" s="176"/>
    </row>
    <row r="9" spans="1:15" s="1" customFormat="1" ht="15">
      <c r="A9" s="166"/>
      <c r="B9" s="42"/>
      <c r="C9" s="36"/>
      <c r="D9" s="37" t="s">
        <v>9</v>
      </c>
      <c r="E9" s="38" t="s">
        <v>116</v>
      </c>
      <c r="F9" s="38" t="s">
        <v>117</v>
      </c>
      <c r="G9" s="37" t="s">
        <v>9</v>
      </c>
      <c r="H9" s="38" t="s">
        <v>116</v>
      </c>
      <c r="I9" s="38" t="s">
        <v>117</v>
      </c>
      <c r="J9" s="37" t="s">
        <v>9</v>
      </c>
      <c r="K9" s="38" t="s">
        <v>116</v>
      </c>
      <c r="L9" s="38" t="s">
        <v>117</v>
      </c>
      <c r="M9" s="37" t="s">
        <v>9</v>
      </c>
      <c r="N9" s="38" t="s">
        <v>116</v>
      </c>
      <c r="O9" s="98" t="s">
        <v>117</v>
      </c>
    </row>
    <row r="10" spans="1:15" s="130" customFormat="1" ht="15">
      <c r="A10" s="166"/>
      <c r="B10" s="132">
        <v>2014</v>
      </c>
      <c r="C10" s="36"/>
      <c r="D10" s="40">
        <f>'ATT 1 - Const and Maint'!C6</f>
        <v>217000</v>
      </c>
      <c r="E10" s="41">
        <f>D10</f>
        <v>217000</v>
      </c>
      <c r="F10" s="41">
        <f>D10</f>
        <v>217000</v>
      </c>
      <c r="G10" s="37">
        <f>'ATT 3b - Value of Time'!F7</f>
        <v>2560641.075</v>
      </c>
      <c r="H10" s="41">
        <f aca="true" t="shared" si="0" ref="H10:H18">G10/(1+$D$3)^($B10-$B$12)</f>
        <v>2716584.1164675</v>
      </c>
      <c r="I10" s="41">
        <f aca="true" t="shared" si="1" ref="I10:I18">G10/(1+$D$4)^($B10-$B$12)</f>
        <v>2931677.9667675006</v>
      </c>
      <c r="J10" s="40">
        <f>('ATT 4 - Owne and Oper Costs'!$D$66*(' ATT 2 - VMT Calculations'!I9+' ATT 2 - VMT Calculations'!K9)+'ATT 4 - Owne and Oper Costs'!$I$66*(' ATT 2 - VMT Calculations'!J9+' ATT 2 - VMT Calculations'!L9))*(1+$D$5)^(B10-$B$12)</f>
        <v>2418771.238193997</v>
      </c>
      <c r="K10" s="41">
        <f>J10/(1+$D$3)^($B10-$B$12)</f>
        <v>2566074.4066000115</v>
      </c>
      <c r="L10" s="41">
        <f>J10/(1+$D$4)^($B10-$B$12)</f>
        <v>2769251.1906083077</v>
      </c>
      <c r="M10" s="40">
        <f>'ATT 5b - Safety Benefit'!G5</f>
        <v>12197584.58964568</v>
      </c>
      <c r="N10" s="41">
        <f>M10/(1+$D$3)^($B10-$B$12)</f>
        <v>12940417.491155103</v>
      </c>
      <c r="O10" s="95">
        <f>M10/(1+$D$4)^($B10-$B$12)</f>
        <v>13965014.59668534</v>
      </c>
    </row>
    <row r="11" spans="1:15" s="130" customFormat="1" ht="15">
      <c r="A11" s="166"/>
      <c r="B11" s="132">
        <v>2015</v>
      </c>
      <c r="C11" s="36"/>
      <c r="D11" s="40">
        <f>'ATT 1 - Const and Maint'!C7</f>
        <v>217000</v>
      </c>
      <c r="E11" s="41">
        <f>D11</f>
        <v>217000</v>
      </c>
      <c r="F11" s="41">
        <f>D11</f>
        <v>217000</v>
      </c>
      <c r="G11" s="37">
        <f>'ATT 3b - Value of Time'!F8</f>
        <v>2608503.525</v>
      </c>
      <c r="H11" s="41">
        <f t="shared" si="0"/>
        <v>2686758.63075</v>
      </c>
      <c r="I11" s="41">
        <f t="shared" si="1"/>
        <v>2791098.77175</v>
      </c>
      <c r="J11" s="40">
        <f>('ATT 4 - Owne and Oper Costs'!$D$66*(' ATT 2 - VMT Calculations'!I10+' ATT 2 - VMT Calculations'!K10)+'ATT 4 - Owne and Oper Costs'!$I$66*(' ATT 2 - VMT Calculations'!J10+' ATT 2 - VMT Calculations'!L10))*(1+$D$5)^(B11-$B$12)</f>
        <v>2537901.37300972</v>
      </c>
      <c r="K11" s="41">
        <f>J11/(1+$D$3)^($B11-$B$12)</f>
        <v>2614038.4142000116</v>
      </c>
      <c r="L11" s="41">
        <f>J11/(1+$D$4)^($B11-$B$12)</f>
        <v>2715554.4691204005</v>
      </c>
      <c r="M11" s="40">
        <f>'ATT 5b - Safety Benefit'!G6+'Total Benefit Cost'!H7</f>
        <v>12425576.82496616</v>
      </c>
      <c r="N11" s="41">
        <f>M11/(1+$D$3)^($B11-$B$12)</f>
        <v>12798344.129715145</v>
      </c>
      <c r="O11" s="95">
        <f>M11/(1+$D$4)^($B11-$B$12)</f>
        <v>13295367.202713791</v>
      </c>
    </row>
    <row r="12" spans="2:15" ht="15">
      <c r="B12" s="43">
        <v>2016</v>
      </c>
      <c r="C12" s="39" t="s">
        <v>2</v>
      </c>
      <c r="D12" s="40">
        <f>'ATT 1 - Const and Maint'!C8</f>
        <v>8184000</v>
      </c>
      <c r="E12" s="41">
        <f>D12</f>
        <v>8184000</v>
      </c>
      <c r="F12" s="41">
        <f>D12</f>
        <v>8184000</v>
      </c>
      <c r="G12" s="40">
        <f>'ATT 3b - Value of Time'!G7</f>
        <v>2560641.075</v>
      </c>
      <c r="H12" s="41">
        <f t="shared" si="0"/>
        <v>2560641.075</v>
      </c>
      <c r="I12" s="41">
        <f t="shared" si="1"/>
        <v>2560641.075</v>
      </c>
      <c r="J12" s="40">
        <f>('ATT 4 - Owne and Oper Costs'!$D$66*(' ATT 2 - VMT Calculations'!I11+' ATT 2 - VMT Calculations'!K11)+'ATT 4 - Owne and Oper Costs'!$I$66*(' ATT 2 - VMT Calculations'!J11+' ATT 2 - VMT Calculations'!L11))*(1+$D$5)^(B12-$B$12)</f>
        <v>2669295.579120012</v>
      </c>
      <c r="K12" s="41">
        <f aca="true" t="shared" si="2" ref="K12:K18">J12/(1+$D$3)^($B12-$B$12)</f>
        <v>2669295.579120012</v>
      </c>
      <c r="L12" s="41">
        <f aca="true" t="shared" si="3" ref="L12:L18">J12/(1+$D$4)^($B12-$B$12)</f>
        <v>2669295.579120012</v>
      </c>
      <c r="M12" s="40">
        <f>'ATT 5b - Safety Benefit'!H7</f>
        <v>12688236.372780576</v>
      </c>
      <c r="N12" s="41">
        <f>M12/(1+$D$3)^($B12-$B$12)</f>
        <v>12688236.372780576</v>
      </c>
      <c r="O12" s="95">
        <f>M12/(1+$D$4)^($B12-$B$12)</f>
        <v>12688236.372780576</v>
      </c>
    </row>
    <row r="13" spans="2:15" ht="15">
      <c r="B13" s="43">
        <v>2017</v>
      </c>
      <c r="C13" s="39"/>
      <c r="D13" s="40">
        <f>'ATT 1 - Const and Maint'!I9</f>
        <v>-37817520</v>
      </c>
      <c r="E13" s="41">
        <f aca="true" t="shared" si="4" ref="E13:E32">D13/(1+$D$3)^($B13-$B$12)</f>
        <v>-36716038.83495145</v>
      </c>
      <c r="F13" s="41">
        <f aca="true" t="shared" si="5" ref="F13:F32">E13/(1+$D$4)^($B13-$B$12)</f>
        <v>-34314054.985935934</v>
      </c>
      <c r="G13" s="40">
        <f>'ATT 3b - Value of Time'!G8</f>
        <v>2686758.63075</v>
      </c>
      <c r="H13" s="41">
        <f t="shared" si="0"/>
        <v>2608503.525</v>
      </c>
      <c r="I13" s="41">
        <f t="shared" si="1"/>
        <v>2510989.3745327103</v>
      </c>
      <c r="J13" s="40">
        <f>('ATT 4 - Owne and Oper Costs'!$D$66*(' ATT 2 - VMT Calculations'!I12+' ATT 2 - VMT Calculations'!K12)+'ATT 4 - Owne and Oper Costs'!$I$66*(' ATT 2 - VMT Calculations'!J12+' ATT 2 - VMT Calculations'!L12))*(1+$D$5)^(B13-$B$12)</f>
        <v>2803616.154239013</v>
      </c>
      <c r="K13" s="41">
        <f t="shared" si="2"/>
        <v>2721957.4313000124</v>
      </c>
      <c r="L13" s="41">
        <f t="shared" si="3"/>
        <v>2620202.0133074885</v>
      </c>
      <c r="M13" s="40">
        <f>'ATT 5b - Safety Benefit'!H8</f>
        <v>13326716.135070357</v>
      </c>
      <c r="N13" s="41">
        <f aca="true" t="shared" si="6" ref="N13:N20">M13/(1+$D$3)^($B13-$B$12)</f>
        <v>12938559.35443724</v>
      </c>
      <c r="O13" s="95">
        <f aca="true" t="shared" si="7" ref="O13:O19">M13/(1+$D$4)^($B13-$B$12)</f>
        <v>12454874.892589118</v>
      </c>
    </row>
    <row r="14" spans="2:15" ht="15">
      <c r="B14" s="132">
        <v>2018</v>
      </c>
      <c r="C14" s="39"/>
      <c r="D14" s="40">
        <f>'ATT 1 - Const and Maint'!I10</f>
        <v>-44738220.800000004</v>
      </c>
      <c r="E14" s="41">
        <f t="shared" si="4"/>
        <v>-42170063.908002645</v>
      </c>
      <c r="F14" s="41">
        <f t="shared" si="5"/>
        <v>-36832966.99100589</v>
      </c>
      <c r="G14" s="40">
        <f>'ATT 3b - Value of Time'!G9</f>
        <v>2825859.590721</v>
      </c>
      <c r="H14" s="41">
        <f t="shared" si="0"/>
        <v>2663643.69</v>
      </c>
      <c r="I14" s="41">
        <f t="shared" si="1"/>
        <v>2468215.2071980084</v>
      </c>
      <c r="J14" s="40">
        <f>('ATT 4 - Owne and Oper Costs'!$D$66*(' ATT 2 - VMT Calculations'!I13+' ATT 2 - VMT Calculations'!K13)+'ATT 4 - Owne and Oper Costs'!$I$66*(' ATT 2 - VMT Calculations'!J13+' ATT 2 - VMT Calculations'!L13))*(1+$D$5)^(B14-$B$12)</f>
        <v>2938609.654529023</v>
      </c>
      <c r="K14" s="41">
        <f t="shared" si="2"/>
        <v>2769921.4389000125</v>
      </c>
      <c r="L14" s="41">
        <f t="shared" si="3"/>
        <v>2566695.4795432114</v>
      </c>
      <c r="M14" s="40">
        <f>'ATT 5b - Safety Benefit'!H9</f>
        <v>13968394.581573965</v>
      </c>
      <c r="N14" s="41">
        <f t="shared" si="6"/>
        <v>13166551.58975772</v>
      </c>
      <c r="O14" s="95">
        <f t="shared" si="7"/>
        <v>12200536.799348384</v>
      </c>
    </row>
    <row r="15" spans="2:15" ht="15">
      <c r="B15" s="132">
        <v>2019</v>
      </c>
      <c r="C15" s="39"/>
      <c r="D15" s="40">
        <f>'ATT 1 - Const and Maint'!I11</f>
        <v>716538.368</v>
      </c>
      <c r="E15" s="41">
        <f t="shared" si="4"/>
        <v>655734.1110817249</v>
      </c>
      <c r="F15" s="41">
        <f t="shared" si="5"/>
        <v>535274.362680922</v>
      </c>
      <c r="G15" s="40">
        <f>'ATT 3b - Value of Time'!G10</f>
        <v>2968058.562015262</v>
      </c>
      <c r="H15" s="41">
        <f t="shared" si="0"/>
        <v>2716194.0374999996</v>
      </c>
      <c r="I15" s="41">
        <f t="shared" si="1"/>
        <v>2422819.902660773</v>
      </c>
      <c r="J15" s="40">
        <f>('ATT 4 - Owne and Oper Costs'!$D$66*(' ATT 2 - VMT Calculations'!I14+' ATT 2 - VMT Calculations'!K14)+'ATT 4 - Owne and Oper Costs'!$I$66*(' ATT 2 - VMT Calculations'!J14+' ATT 2 - VMT Calculations'!L14))*(1+$D$5)^(B15-$B$12)</f>
        <v>3079179.5102976193</v>
      </c>
      <c r="K15" s="41">
        <f t="shared" si="2"/>
        <v>2817885.4465000127</v>
      </c>
      <c r="L15" s="41">
        <f t="shared" si="3"/>
        <v>2513527.69682176</v>
      </c>
      <c r="M15" s="40">
        <f>'ATT 5b - Safety Benefit'!H10</f>
        <v>14636579.690346226</v>
      </c>
      <c r="N15" s="41">
        <f t="shared" si="6"/>
        <v>13394543.8250782</v>
      </c>
      <c r="O15" s="95">
        <f t="shared" si="7"/>
        <v>11947808.926173387</v>
      </c>
    </row>
    <row r="16" spans="2:15" ht="15">
      <c r="B16" s="43">
        <v>2020</v>
      </c>
      <c r="C16" s="39"/>
      <c r="D16" s="40">
        <f>'ATT 1 - Const and Maint'!I12</f>
        <v>6892806.635520001</v>
      </c>
      <c r="E16" s="41">
        <f t="shared" si="4"/>
        <v>6124169.419446838</v>
      </c>
      <c r="F16" s="41">
        <f t="shared" si="5"/>
        <v>4672099.527863865</v>
      </c>
      <c r="G16" s="40">
        <f>'ATT 3b - Value of Time'!G11</f>
        <v>3110969.9280189043</v>
      </c>
      <c r="H16" s="41">
        <f t="shared" si="0"/>
        <v>2764056.4875</v>
      </c>
      <c r="I16" s="41">
        <f t="shared" si="1"/>
        <v>2373344.0629094564</v>
      </c>
      <c r="J16" s="40">
        <f>('ATT 4 - Owne and Oper Costs'!$D$66*(' ATT 2 - VMT Calculations'!I15+' ATT 2 - VMT Calculations'!K15)+'ATT 4 - Owne and Oper Costs'!$I$66*(' ATT 2 - VMT Calculations'!J15+' ATT 2 - VMT Calculations'!L15))*(1+$D$5)^(B16-$B$12)</f>
        <v>3234375.9013498947</v>
      </c>
      <c r="K16" s="41">
        <f t="shared" si="2"/>
        <v>2873701.0964400135</v>
      </c>
      <c r="L16" s="41">
        <f t="shared" si="3"/>
        <v>2467489.8891017335</v>
      </c>
      <c r="M16" s="40">
        <f>'ATT 5b - Safety Benefit'!H11</f>
        <v>15374290.609015984</v>
      </c>
      <c r="N16" s="41">
        <f t="shared" si="6"/>
        <v>13659858.077002512</v>
      </c>
      <c r="O16" s="95">
        <f t="shared" si="7"/>
        <v>11728972.694245525</v>
      </c>
    </row>
    <row r="17" spans="2:15" ht="15">
      <c r="B17" s="43">
        <v>2021</v>
      </c>
      <c r="C17" s="39"/>
      <c r="D17" s="40">
        <f>'ATT 1 - Const and Maint'!I13</f>
        <v>775007.8988288002</v>
      </c>
      <c r="E17" s="41">
        <f t="shared" si="4"/>
        <v>668528.6214968365</v>
      </c>
      <c r="F17" s="41">
        <f t="shared" si="5"/>
        <v>476651.66771651286</v>
      </c>
      <c r="G17" s="40">
        <f>'ATT 3b - Value of Time'!G12</f>
        <v>3259784.723276952</v>
      </c>
      <c r="H17" s="41">
        <f t="shared" si="0"/>
        <v>2811918.9375</v>
      </c>
      <c r="I17" s="41">
        <f t="shared" si="1"/>
        <v>2324181.455788461</v>
      </c>
      <c r="J17" s="40">
        <f>('ATT 4 - Owne and Oper Costs'!$D$66*(' ATT 2 - VMT Calculations'!I16+' ATT 2 - VMT Calculations'!K16)+'ATT 4 - Owne and Oper Costs'!$I$66*(' ATT 2 - VMT Calculations'!J16+' ATT 2 - VMT Calculations'!L16))*(1+$D$5)^(B17-$B$12)</f>
        <v>3377908.403495161</v>
      </c>
      <c r="K17" s="41">
        <f t="shared" si="2"/>
        <v>2913813.4617000134</v>
      </c>
      <c r="L17" s="41">
        <f t="shared" si="3"/>
        <v>2408402.0072537926</v>
      </c>
      <c r="M17" s="40">
        <f>'ATT 5b - Safety Benefit'!H12</f>
        <v>16056558.368585784</v>
      </c>
      <c r="N17" s="41">
        <f t="shared" si="6"/>
        <v>13850528.29571916</v>
      </c>
      <c r="O17" s="95">
        <f t="shared" si="7"/>
        <v>11448104.206874501</v>
      </c>
    </row>
    <row r="18" spans="2:15" ht="15">
      <c r="B18" s="132">
        <v>2022</v>
      </c>
      <c r="C18" s="39"/>
      <c r="D18" s="40">
        <f>'ATT 1 - Const and Maint'!I14</f>
        <v>44286165.64736001</v>
      </c>
      <c r="E18" s="41">
        <f t="shared" si="4"/>
        <v>37088966.51854849</v>
      </c>
      <c r="F18" s="41">
        <f t="shared" si="5"/>
        <v>24713944.429025777</v>
      </c>
      <c r="G18" s="147">
        <f>'ATT 3b - Value of Time'!G13</f>
        <v>3424083.9539544852</v>
      </c>
      <c r="H18" s="148">
        <f t="shared" si="0"/>
        <v>2867616.4050000003</v>
      </c>
      <c r="I18" s="148">
        <f t="shared" si="1"/>
        <v>2281611.716412469</v>
      </c>
      <c r="J18" s="147">
        <f>('ATT 4 - Owne and Oper Costs'!$D$66*(' ATT 2 - VMT Calculations'!I17+' ATT 2 - VMT Calculations'!K17)+'ATT 4 - Owne and Oper Costs'!$I$66*(' ATT 2 - VMT Calculations'!J17+' ATT 2 - VMT Calculations'!L17))*(1+$D$5)^(B18-$B$12)</f>
        <v>3536517.189025531</v>
      </c>
      <c r="K18" s="148">
        <f t="shared" si="2"/>
        <v>2961777.469300014</v>
      </c>
      <c r="L18" s="148">
        <f t="shared" si="3"/>
        <v>2356530.7283005943</v>
      </c>
      <c r="M18" s="147">
        <f>'ATT 5b - Safety Benefit'!H13</f>
        <v>16810489.77181856</v>
      </c>
      <c r="N18" s="148">
        <f t="shared" si="6"/>
        <v>14078520.531039642</v>
      </c>
      <c r="O18" s="149">
        <f t="shared" si="7"/>
        <v>11201539.137998318</v>
      </c>
    </row>
    <row r="19" spans="2:15" ht="15">
      <c r="B19" s="132">
        <v>2023</v>
      </c>
      <c r="C19" s="39"/>
      <c r="D19" s="40">
        <f>'ATT 1 - Const and Maint'!I15</f>
        <v>85535565.65032962</v>
      </c>
      <c r="E19" s="41">
        <f t="shared" si="4"/>
        <v>69548242.34823516</v>
      </c>
      <c r="F19" s="146">
        <f t="shared" si="5"/>
        <v>43311149.97089043</v>
      </c>
      <c r="G19" s="147">
        <f>'ATT 3b - Value of Time'!G14</f>
        <v>3576035.1657049274</v>
      </c>
      <c r="H19" s="148">
        <f>G19/(1+$D$3)^($B19-$B$12)</f>
        <v>2907643.8375</v>
      </c>
      <c r="I19" s="148">
        <f>G19/(1+$D$4)^($B19-$B$12)</f>
        <v>2226974.9764129645</v>
      </c>
      <c r="J19" s="147">
        <f>('ATT 4 - Owne and Oper Costs'!$D$66*(' ATT 2 - VMT Calculations'!I18+' ATT 2 - VMT Calculations'!K18)+'ATT 4 - Owne and Oper Costs'!$I$66*(' ATT 2 - VMT Calculations'!J18+' ATT 2 - VMT Calculations'!L18))*(1+$D$5)^(B19-$B$12)</f>
        <v>3701602.3841245775</v>
      </c>
      <c r="K19" s="148">
        <f>J19/(1+$D$3)^($B19-$B$12)</f>
        <v>3009741.476900014</v>
      </c>
      <c r="L19" s="148">
        <f>J19/(1+$D$4)^($B19-$B$12)</f>
        <v>2305171.929272968</v>
      </c>
      <c r="M19" s="147">
        <f>'ATT 5b - Safety Benefit'!H14</f>
        <v>17595206.156713568</v>
      </c>
      <c r="N19" s="148">
        <f t="shared" si="6"/>
        <v>14306512.766360117</v>
      </c>
      <c r="O19" s="149">
        <f t="shared" si="7"/>
        <v>10957410.092499543</v>
      </c>
    </row>
    <row r="20" spans="2:15" ht="15.75" thickBot="1">
      <c r="B20" s="43">
        <v>2024</v>
      </c>
      <c r="C20" s="39"/>
      <c r="D20" s="40">
        <f>'ATT 1 - Const and Maint'!I16</f>
        <v>95799833.52836919</v>
      </c>
      <c r="E20" s="41">
        <f t="shared" si="4"/>
        <v>75625273.23303244</v>
      </c>
      <c r="F20" s="146">
        <f t="shared" si="5"/>
        <v>44014597.55684358</v>
      </c>
      <c r="G20" s="147">
        <f>'ATT 3b - Value of Time'!G15</f>
        <v>3743946.940357985</v>
      </c>
      <c r="H20" s="148">
        <f>G20/(1+$D$3)^($B20-$B$12)</f>
        <v>2955506.2874999996</v>
      </c>
      <c r="I20" s="148">
        <f>G20/(1+$D$4)^($B20-$B$12)</f>
        <v>2179011.206296766</v>
      </c>
      <c r="J20" s="147">
        <f>('ATT 4 - Owne and Oper Costs'!$D$66*(' ATT 2 - VMT Calculations'!I19+' ATT 2 - VMT Calculations'!K19)+'ATT 4 - Owne and Oper Costs'!$I$66*(' ATT 2 - VMT Calculations'!J19+' ATT 2 - VMT Calculations'!L19))*(1+$D$5)^(B20-$B$12)</f>
        <v>3868790.448713528</v>
      </c>
      <c r="K20" s="148">
        <f>J20/(1+$D$3)^($B20-$B$12)</f>
        <v>3054058.905840014</v>
      </c>
      <c r="L20" s="148">
        <f>J20/(1+$D$4)^($B20-$B$12)</f>
        <v>2251671.2648055335</v>
      </c>
      <c r="M20" s="147">
        <f>'ATT 5b - Safety Benefit'!H15</f>
        <v>18389918.32677293</v>
      </c>
      <c r="N20" s="148">
        <f t="shared" si="6"/>
        <v>14517171.345433632</v>
      </c>
      <c r="O20" s="149">
        <f>M20/(1+$D$4)^($B20-$B$12)</f>
        <v>10703099.898389302</v>
      </c>
    </row>
    <row r="21" spans="2:15" ht="15.75" thickTop="1">
      <c r="B21" s="43">
        <v>2025</v>
      </c>
      <c r="C21" s="39"/>
      <c r="D21" s="40">
        <f>'ATT 1 - Const and Maint'!I17</f>
        <v>0</v>
      </c>
      <c r="E21" s="41">
        <f t="shared" si="4"/>
        <v>0</v>
      </c>
      <c r="F21" s="146">
        <f t="shared" si="5"/>
        <v>0</v>
      </c>
      <c r="G21" s="153"/>
      <c r="H21" s="154"/>
      <c r="I21" s="154"/>
      <c r="J21" s="155"/>
      <c r="K21" s="154"/>
      <c r="L21" s="154"/>
      <c r="M21" s="155"/>
      <c r="N21" s="154"/>
      <c r="O21" s="156"/>
    </row>
    <row r="22" spans="2:15" ht="15">
      <c r="B22" s="132">
        <v>2026</v>
      </c>
      <c r="C22" s="39"/>
      <c r="D22" s="40">
        <f>'ATT 1 - Const and Maint'!I18</f>
        <v>0</v>
      </c>
      <c r="E22" s="41">
        <f t="shared" si="4"/>
        <v>0</v>
      </c>
      <c r="F22" s="146">
        <f t="shared" si="5"/>
        <v>0</v>
      </c>
      <c r="G22" s="157"/>
      <c r="H22" s="152"/>
      <c r="I22" s="152"/>
      <c r="J22" s="151"/>
      <c r="K22" s="152"/>
      <c r="L22" s="152"/>
      <c r="M22" s="151"/>
      <c r="N22" s="152"/>
      <c r="O22" s="158"/>
    </row>
    <row r="23" spans="2:15" ht="15">
      <c r="B23" s="132">
        <v>2027</v>
      </c>
      <c r="C23" s="39"/>
      <c r="D23" s="40">
        <f>'ATT 1 - Const and Maint'!I19</f>
        <v>0</v>
      </c>
      <c r="E23" s="41">
        <f t="shared" si="4"/>
        <v>0</v>
      </c>
      <c r="F23" s="146">
        <f t="shared" si="5"/>
        <v>0</v>
      </c>
      <c r="G23" s="157"/>
      <c r="H23" s="152"/>
      <c r="I23" s="152"/>
      <c r="J23" s="151"/>
      <c r="K23" s="152"/>
      <c r="L23" s="152"/>
      <c r="M23" s="151"/>
      <c r="N23" s="152"/>
      <c r="O23" s="158"/>
    </row>
    <row r="24" spans="2:15" ht="15">
      <c r="B24" s="43">
        <v>2028</v>
      </c>
      <c r="C24" s="39"/>
      <c r="D24" s="40">
        <f>'ATT 1 - Const and Maint'!I20</f>
        <v>0</v>
      </c>
      <c r="E24" s="41">
        <f t="shared" si="4"/>
        <v>0</v>
      </c>
      <c r="F24" s="146">
        <f t="shared" si="5"/>
        <v>0</v>
      </c>
      <c r="G24" s="157"/>
      <c r="H24" s="152"/>
      <c r="I24" s="152"/>
      <c r="J24" s="151"/>
      <c r="K24" s="152"/>
      <c r="L24" s="152"/>
      <c r="M24" s="151"/>
      <c r="N24" s="152"/>
      <c r="O24" s="158"/>
    </row>
    <row r="25" spans="2:15" ht="15">
      <c r="B25" s="43">
        <v>2029</v>
      </c>
      <c r="C25" s="39"/>
      <c r="D25" s="40">
        <f>'ATT 1 - Const and Maint'!I21</f>
        <v>-13773488.052471539</v>
      </c>
      <c r="E25" s="41">
        <f t="shared" si="4"/>
        <v>-9379075.14571052</v>
      </c>
      <c r="F25" s="146">
        <f t="shared" si="5"/>
        <v>-3891982.7395448717</v>
      </c>
      <c r="G25" s="157"/>
      <c r="H25" s="152"/>
      <c r="I25" s="152"/>
      <c r="J25" s="151"/>
      <c r="K25" s="152"/>
      <c r="L25" s="152"/>
      <c r="M25" s="151"/>
      <c r="N25" s="152"/>
      <c r="O25" s="158"/>
    </row>
    <row r="26" spans="2:15" ht="15">
      <c r="B26" s="132">
        <v>2030</v>
      </c>
      <c r="C26" s="39"/>
      <c r="D26" s="40">
        <f>'ATT 1 - Const and Maint'!I22</f>
        <v>0</v>
      </c>
      <c r="E26" s="41">
        <f t="shared" si="4"/>
        <v>0</v>
      </c>
      <c r="F26" s="146">
        <f t="shared" si="5"/>
        <v>0</v>
      </c>
      <c r="G26" s="157"/>
      <c r="H26" s="152"/>
      <c r="I26" s="152"/>
      <c r="J26" s="151"/>
      <c r="K26" s="152"/>
      <c r="L26" s="152"/>
      <c r="M26" s="151"/>
      <c r="N26" s="152"/>
      <c r="O26" s="158"/>
    </row>
    <row r="27" spans="2:15" ht="15">
      <c r="B27" s="132">
        <v>2031</v>
      </c>
      <c r="C27" s="39"/>
      <c r="D27" s="40">
        <f>'ATT 1 - Const and Maint'!I23</f>
        <v>0</v>
      </c>
      <c r="E27" s="41">
        <f t="shared" si="4"/>
        <v>0</v>
      </c>
      <c r="F27" s="146">
        <f t="shared" si="5"/>
        <v>0</v>
      </c>
      <c r="G27" s="157"/>
      <c r="H27" s="152"/>
      <c r="I27" s="152"/>
      <c r="J27" s="151"/>
      <c r="K27" s="152"/>
      <c r="L27" s="152"/>
      <c r="M27" s="151"/>
      <c r="N27" s="152"/>
      <c r="O27" s="158"/>
    </row>
    <row r="28" spans="2:15" ht="15">
      <c r="B28" s="43">
        <v>2032</v>
      </c>
      <c r="C28" s="39"/>
      <c r="D28" s="40">
        <f>'ATT 1 - Const and Maint'!I24</f>
        <v>0</v>
      </c>
      <c r="E28" s="41">
        <f t="shared" si="4"/>
        <v>0</v>
      </c>
      <c r="F28" s="146">
        <f t="shared" si="5"/>
        <v>0</v>
      </c>
      <c r="G28" s="157"/>
      <c r="H28" s="152"/>
      <c r="I28" s="152"/>
      <c r="J28" s="151"/>
      <c r="K28" s="152"/>
      <c r="L28" s="152"/>
      <c r="M28" s="151"/>
      <c r="N28" s="152"/>
      <c r="O28" s="158"/>
    </row>
    <row r="29" spans="2:15" ht="15">
      <c r="B29" s="43">
        <v>2033</v>
      </c>
      <c r="C29" s="39"/>
      <c r="D29" s="40">
        <f>'ATT 1 - Const and Maint'!I25</f>
        <v>0</v>
      </c>
      <c r="E29" s="41">
        <f t="shared" si="4"/>
        <v>0</v>
      </c>
      <c r="F29" s="146">
        <f t="shared" si="5"/>
        <v>0</v>
      </c>
      <c r="G29" s="157"/>
      <c r="H29" s="152"/>
      <c r="I29" s="152"/>
      <c r="J29" s="151"/>
      <c r="K29" s="152"/>
      <c r="L29" s="152"/>
      <c r="M29" s="151"/>
      <c r="N29" s="152"/>
      <c r="O29" s="158"/>
    </row>
    <row r="30" spans="2:15" ht="15">
      <c r="B30" s="132">
        <v>2034</v>
      </c>
      <c r="C30" s="39"/>
      <c r="D30" s="40">
        <f>'ATT 1 - Const and Maint'!I26</f>
        <v>8715062.64915845</v>
      </c>
      <c r="E30" s="41">
        <f t="shared" si="4"/>
        <v>5119180.805153749</v>
      </c>
      <c r="F30" s="146">
        <f t="shared" si="5"/>
        <v>1514580.881371141</v>
      </c>
      <c r="G30" s="157"/>
      <c r="H30" s="152"/>
      <c r="I30" s="152"/>
      <c r="J30" s="151"/>
      <c r="K30" s="152"/>
      <c r="L30" s="152"/>
      <c r="M30" s="151"/>
      <c r="N30" s="152"/>
      <c r="O30" s="158"/>
    </row>
    <row r="31" spans="2:15" ht="15">
      <c r="B31" s="132">
        <v>2035</v>
      </c>
      <c r="C31" s="39"/>
      <c r="D31" s="40">
        <f>'ATT 1 - Const and Maint'!I27</f>
        <v>0</v>
      </c>
      <c r="E31" s="41">
        <f t="shared" si="4"/>
        <v>0</v>
      </c>
      <c r="F31" s="146">
        <f t="shared" si="5"/>
        <v>0</v>
      </c>
      <c r="G31" s="157"/>
      <c r="H31" s="152"/>
      <c r="I31" s="152"/>
      <c r="J31" s="151"/>
      <c r="K31" s="152"/>
      <c r="L31" s="152"/>
      <c r="M31" s="151"/>
      <c r="N31" s="152"/>
      <c r="O31" s="158"/>
    </row>
    <row r="32" spans="2:15" ht="15">
      <c r="B32" s="43">
        <v>2036</v>
      </c>
      <c r="C32" s="39"/>
      <c r="D32" s="40">
        <f>'ATT 1 - Const and Maint'!I28</f>
        <v>0</v>
      </c>
      <c r="E32" s="41">
        <f t="shared" si="4"/>
        <v>0</v>
      </c>
      <c r="F32" s="146">
        <f t="shared" si="5"/>
        <v>0</v>
      </c>
      <c r="G32" s="157"/>
      <c r="H32" s="152"/>
      <c r="I32" s="152"/>
      <c r="J32" s="151"/>
      <c r="K32" s="152"/>
      <c r="L32" s="152"/>
      <c r="M32" s="151"/>
      <c r="N32" s="152"/>
      <c r="O32" s="158"/>
    </row>
    <row r="33" spans="2:15" ht="15">
      <c r="B33" s="43">
        <v>2037</v>
      </c>
      <c r="C33" s="39"/>
      <c r="D33" s="40">
        <f>'ATT 1 - Const and Maint'!I29</f>
        <v>0</v>
      </c>
      <c r="E33" s="41">
        <f>D33/(1+$D$3)^($B33-$B$12)</f>
        <v>0</v>
      </c>
      <c r="F33" s="146">
        <f>E33/(1+$D$4)^($B33-$B$12)</f>
        <v>0</v>
      </c>
      <c r="G33" s="157"/>
      <c r="H33" s="152"/>
      <c r="I33" s="152"/>
      <c r="J33" s="151"/>
      <c r="K33" s="152"/>
      <c r="L33" s="152"/>
      <c r="M33" s="151"/>
      <c r="N33" s="152"/>
      <c r="O33" s="158"/>
    </row>
    <row r="34" spans="2:15" ht="15.75" thickBot="1">
      <c r="B34" s="43">
        <v>2038</v>
      </c>
      <c r="C34" s="39"/>
      <c r="D34" s="40">
        <f>'ATT 1 - Const and Maint'!I30</f>
        <v>0</v>
      </c>
      <c r="E34" s="41">
        <f>D34/(1+$D$3)^($B34-$B$12)</f>
        <v>0</v>
      </c>
      <c r="F34" s="146">
        <f>E34/(1+$D$4)^($B34-$B$12)</f>
        <v>0</v>
      </c>
      <c r="G34" s="159"/>
      <c r="H34" s="160"/>
      <c r="I34" s="160"/>
      <c r="J34" s="161"/>
      <c r="K34" s="160"/>
      <c r="L34" s="160"/>
      <c r="M34" s="161"/>
      <c r="N34" s="160"/>
      <c r="O34" s="162"/>
    </row>
    <row r="35" spans="2:15" ht="15.75" thickTop="1">
      <c r="B35" s="43" t="s">
        <v>7</v>
      </c>
      <c r="C35" s="39"/>
      <c r="D35" s="40">
        <f>SUM(D12:D32)</f>
        <v>154575751.5250945</v>
      </c>
      <c r="E35" s="41">
        <f>SUM(E12:E32)</f>
        <v>114748917.1683306</v>
      </c>
      <c r="F35" s="41">
        <f>SUM(F12:F32)</f>
        <v>52383293.679905534</v>
      </c>
      <c r="G35" s="150">
        <f>SUM(G12:G20)</f>
        <v>28156138.569799513</v>
      </c>
      <c r="H35" s="150">
        <f aca="true" t="shared" si="8" ref="H35:O35">SUM(H12:H20)</f>
        <v>24855724.2825</v>
      </c>
      <c r="I35" s="150">
        <f t="shared" si="8"/>
        <v>21347788.97721161</v>
      </c>
      <c r="J35" s="150">
        <f t="shared" si="8"/>
        <v>29209895.22489436</v>
      </c>
      <c r="K35" s="150">
        <f t="shared" si="8"/>
        <v>25792152.306000117</v>
      </c>
      <c r="L35" s="150">
        <f t="shared" si="8"/>
        <v>22158986.587527093</v>
      </c>
      <c r="M35" s="150">
        <f t="shared" si="8"/>
        <v>138846390.01267794</v>
      </c>
      <c r="N35" s="150">
        <f t="shared" si="8"/>
        <v>122600482.1576088</v>
      </c>
      <c r="O35" s="150">
        <f t="shared" si="8"/>
        <v>105330583.02089864</v>
      </c>
    </row>
    <row r="36" spans="2:15" ht="15">
      <c r="B36" s="43"/>
      <c r="C36" s="39"/>
      <c r="D36" s="40"/>
      <c r="E36" s="39"/>
      <c r="F36" s="39"/>
      <c r="G36" s="40"/>
      <c r="H36" s="40"/>
      <c r="I36" s="40"/>
      <c r="J36" s="40"/>
      <c r="K36" s="39"/>
      <c r="L36" s="39"/>
      <c r="M36" s="40"/>
      <c r="N36" s="39"/>
      <c r="O36" s="96"/>
    </row>
    <row r="37" spans="2:15" ht="15">
      <c r="B37" s="43"/>
      <c r="C37" s="39"/>
      <c r="D37" s="40"/>
      <c r="E37" s="39"/>
      <c r="F37" s="39"/>
      <c r="G37" s="40"/>
      <c r="H37" s="40"/>
      <c r="I37" s="40"/>
      <c r="J37" s="40"/>
      <c r="K37" s="39"/>
      <c r="L37" s="39"/>
      <c r="M37" s="40"/>
      <c r="N37" s="39"/>
      <c r="O37" s="96"/>
    </row>
    <row r="38" spans="2:15" ht="15">
      <c r="B38" s="43"/>
      <c r="C38" s="39"/>
      <c r="D38" s="40"/>
      <c r="E38" s="40">
        <f>SUM(H35,K35,N35)</f>
        <v>173248358.74610892</v>
      </c>
      <c r="F38" s="40" t="s">
        <v>118</v>
      </c>
      <c r="G38" s="40"/>
      <c r="H38" s="40"/>
      <c r="I38" s="40"/>
      <c r="J38" s="40"/>
      <c r="K38" s="40">
        <f>SUM(I35,L35,O35)</f>
        <v>148837358.58563733</v>
      </c>
      <c r="L38" s="40" t="s">
        <v>121</v>
      </c>
      <c r="M38" s="40"/>
      <c r="N38" s="39"/>
      <c r="O38" s="96"/>
    </row>
    <row r="39" spans="2:15" ht="15">
      <c r="B39" s="43"/>
      <c r="C39" s="39"/>
      <c r="D39" s="40"/>
      <c r="E39" s="40">
        <f>E35</f>
        <v>114748917.1683306</v>
      </c>
      <c r="F39" s="40" t="s">
        <v>119</v>
      </c>
      <c r="G39" s="40"/>
      <c r="H39" s="40"/>
      <c r="I39" s="40"/>
      <c r="J39" s="40"/>
      <c r="K39" s="40">
        <f>F35</f>
        <v>52383293.679905534</v>
      </c>
      <c r="L39" s="40" t="s">
        <v>122</v>
      </c>
      <c r="M39" s="40"/>
      <c r="N39" s="39"/>
      <c r="O39" s="96"/>
    </row>
    <row r="40" spans="2:15" ht="15.75" thickBot="1">
      <c r="B40" s="44"/>
      <c r="C40" s="45"/>
      <c r="D40" s="46"/>
      <c r="E40" s="47">
        <f>E38/E39</f>
        <v>1.509803865878427</v>
      </c>
      <c r="F40" s="46" t="s">
        <v>120</v>
      </c>
      <c r="G40" s="46"/>
      <c r="H40" s="46"/>
      <c r="I40" s="46"/>
      <c r="J40" s="46"/>
      <c r="K40" s="47">
        <f>K38/K39</f>
        <v>2.8413134824076938</v>
      </c>
      <c r="L40" s="46" t="s">
        <v>123</v>
      </c>
      <c r="M40" s="46"/>
      <c r="N40" s="45"/>
      <c r="O40" s="97"/>
    </row>
    <row r="41" ht="11.25" customHeight="1"/>
  </sheetData>
  <sheetProtection/>
  <mergeCells count="4">
    <mergeCell ref="M8:O8"/>
    <mergeCell ref="J8:L8"/>
    <mergeCell ref="G8:I8"/>
    <mergeCell ref="D8:F8"/>
  </mergeCells>
  <printOptions gridLines="1" headings="1"/>
  <pageMargins left="0.7" right="0.7" top="0.75" bottom="0.75" header="0.3" footer="0.3"/>
  <pageSetup fitToHeight="1" fitToWidth="1" horizontalDpi="600" verticalDpi="600" orientation="landscape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1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5.28125" style="0" customWidth="1"/>
    <col min="2" max="2" width="13.7109375" style="0" customWidth="1"/>
    <col min="3" max="3" width="11.8515625" style="2" bestFit="1" customWidth="1"/>
    <col min="4" max="4" width="13.8515625" style="2" customWidth="1"/>
    <col min="6" max="6" width="10.8515625" style="2" bestFit="1" customWidth="1"/>
    <col min="7" max="7" width="13.28125" style="2" customWidth="1"/>
    <col min="8" max="8" width="13.140625" style="0" customWidth="1"/>
    <col min="9" max="9" width="14.57421875" style="0" customWidth="1"/>
    <col min="17" max="17" width="13.7109375" style="0" bestFit="1" customWidth="1"/>
    <col min="18" max="18" width="11.28125" style="0" customWidth="1"/>
  </cols>
  <sheetData>
    <row r="2" spans="1:9" ht="15">
      <c r="A2" s="184" t="s">
        <v>187</v>
      </c>
      <c r="B2" s="184"/>
      <c r="C2" s="184"/>
      <c r="D2" s="184"/>
      <c r="E2" s="184"/>
      <c r="F2" s="184"/>
      <c r="G2" s="184"/>
      <c r="H2" s="184"/>
      <c r="I2" s="184"/>
    </row>
    <row r="4" spans="1:9" ht="15">
      <c r="A4" s="181" t="s">
        <v>176</v>
      </c>
      <c r="B4" s="182"/>
      <c r="C4" s="182"/>
      <c r="D4" s="183"/>
      <c r="E4" s="181" t="s">
        <v>175</v>
      </c>
      <c r="F4" s="182"/>
      <c r="G4" s="183"/>
      <c r="H4" s="100" t="s">
        <v>14</v>
      </c>
      <c r="I4" s="100" t="s">
        <v>155</v>
      </c>
    </row>
    <row r="5" spans="2:9" ht="15">
      <c r="B5" t="s">
        <v>1</v>
      </c>
      <c r="C5" s="2" t="s">
        <v>12</v>
      </c>
      <c r="D5" s="2" t="s">
        <v>109</v>
      </c>
      <c r="E5" t="s">
        <v>1</v>
      </c>
      <c r="F5" s="2" t="s">
        <v>13</v>
      </c>
      <c r="G5" s="2" t="s">
        <v>109</v>
      </c>
      <c r="H5" s="88" t="s">
        <v>174</v>
      </c>
      <c r="I5" s="88" t="s">
        <v>112</v>
      </c>
    </row>
    <row r="6" spans="1:9" ht="15">
      <c r="A6">
        <v>2014</v>
      </c>
      <c r="C6" s="2">
        <v>217000</v>
      </c>
      <c r="D6" s="2">
        <v>420000</v>
      </c>
      <c r="F6" s="2">
        <v>217000</v>
      </c>
      <c r="G6" s="2">
        <v>420000</v>
      </c>
      <c r="H6" s="2">
        <f>(C6+D6)-(F6+G6)</f>
        <v>0</v>
      </c>
      <c r="I6" s="2">
        <f>H6*(1+'Total Benefit Cost'!$D$6)^(A6-$A$8)</f>
        <v>0</v>
      </c>
    </row>
    <row r="7" spans="1:9" ht="15">
      <c r="A7">
        <v>2015</v>
      </c>
      <c r="C7" s="2">
        <v>217000</v>
      </c>
      <c r="D7" s="2">
        <v>420000</v>
      </c>
      <c r="F7" s="2">
        <v>217000</v>
      </c>
      <c r="G7" s="2">
        <v>420000</v>
      </c>
      <c r="H7" s="2">
        <f>(C7+D7)-(F7+G7)</f>
        <v>0</v>
      </c>
      <c r="I7" s="2">
        <f>H7*(1+'Total Benefit Cost'!$D$6)^(A7-$A$8)</f>
        <v>0</v>
      </c>
    </row>
    <row r="8" spans="1:9" ht="15">
      <c r="A8">
        <v>2016</v>
      </c>
      <c r="B8" t="s">
        <v>11</v>
      </c>
      <c r="C8" s="172">
        <f>8184000</f>
        <v>8184000</v>
      </c>
      <c r="D8" s="171">
        <f>25000*60*2</f>
        <v>3000000</v>
      </c>
      <c r="E8" s="2" t="s">
        <v>12</v>
      </c>
      <c r="F8" s="2">
        <v>10000000</v>
      </c>
      <c r="G8" s="2">
        <v>8000000</v>
      </c>
      <c r="H8" s="2">
        <f>(C8+D8)-(F8+G8)</f>
        <v>-6816000</v>
      </c>
      <c r="I8" s="2">
        <f>H8*(1+'Total Benefit Cost'!$D$6)^(A8-$A$8)</f>
        <v>-6816000</v>
      </c>
    </row>
    <row r="9" spans="1:9" ht="15">
      <c r="A9">
        <v>2017</v>
      </c>
      <c r="B9" t="s">
        <v>177</v>
      </c>
      <c r="C9" s="2">
        <v>217000</v>
      </c>
      <c r="D9" s="2">
        <v>420000</v>
      </c>
      <c r="F9" s="2">
        <v>15000000</v>
      </c>
      <c r="G9" s="2">
        <v>22000000</v>
      </c>
      <c r="H9" s="2">
        <f>(C9+D9)-(F9+G9)</f>
        <v>-36363000</v>
      </c>
      <c r="I9" s="2">
        <f>H9*(1+'Total Benefit Cost'!$D$6)^(A9-$A$8)</f>
        <v>-37817520</v>
      </c>
    </row>
    <row r="10" spans="1:9" ht="15">
      <c r="A10">
        <v>2018</v>
      </c>
      <c r="B10" t="s">
        <v>179</v>
      </c>
      <c r="C10" s="2">
        <v>217000</v>
      </c>
      <c r="D10" s="2">
        <v>420000</v>
      </c>
      <c r="F10" s="2">
        <v>20000000</v>
      </c>
      <c r="G10" s="2">
        <v>22000000</v>
      </c>
      <c r="H10" s="2">
        <f>(C10+D10)-(F10+G10)</f>
        <v>-41363000</v>
      </c>
      <c r="I10" s="2">
        <f>H10*(1+'Total Benefit Cost'!$D$6)^(A10-$A$8)</f>
        <v>-44738220.800000004</v>
      </c>
    </row>
    <row r="11" spans="1:9" ht="15">
      <c r="A11">
        <v>2019</v>
      </c>
      <c r="B11" t="s">
        <v>11</v>
      </c>
      <c r="C11" s="2">
        <v>217000</v>
      </c>
      <c r="D11" s="2">
        <v>420000</v>
      </c>
      <c r="F11" s="2">
        <v>0</v>
      </c>
      <c r="H11" s="2">
        <f aca="true" t="shared" si="0" ref="H11:H28">(C11+D11)-(F11+G11)</f>
        <v>637000</v>
      </c>
      <c r="I11" s="2">
        <f>H11*(1+'Total Benefit Cost'!$D$6)^(A11-$A$8)</f>
        <v>716538.368</v>
      </c>
    </row>
    <row r="12" spans="1:30" ht="15">
      <c r="A12">
        <v>2020</v>
      </c>
      <c r="B12" t="s">
        <v>177</v>
      </c>
      <c r="C12" s="2">
        <v>4092000</v>
      </c>
      <c r="D12" s="2">
        <f>30000*60</f>
        <v>1800000</v>
      </c>
      <c r="F12" s="2">
        <v>0</v>
      </c>
      <c r="H12" s="2">
        <f t="shared" si="0"/>
        <v>5892000</v>
      </c>
      <c r="I12" s="2">
        <f>H12*(1+'Total Benefit Cost'!$D$6)^(A12-$A$8)</f>
        <v>6892806.635520001</v>
      </c>
      <c r="N12" s="163"/>
      <c r="O12" s="164" t="s">
        <v>156</v>
      </c>
      <c r="P12" s="163" t="s">
        <v>159</v>
      </c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</row>
    <row r="13" spans="1:30" ht="15">
      <c r="A13">
        <v>2021</v>
      </c>
      <c r="B13" t="s">
        <v>11</v>
      </c>
      <c r="C13" s="2">
        <v>217000</v>
      </c>
      <c r="D13" s="2">
        <v>420000</v>
      </c>
      <c r="F13" s="2">
        <v>0</v>
      </c>
      <c r="H13" s="2">
        <f t="shared" si="0"/>
        <v>637000</v>
      </c>
      <c r="I13" s="2">
        <f>H13*(1+'Total Benefit Cost'!$D$6)^(A13-$A$8)</f>
        <v>775007.8988288002</v>
      </c>
      <c r="N13" s="163"/>
      <c r="O13" s="165"/>
      <c r="P13" s="163" t="s">
        <v>161</v>
      </c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</row>
    <row r="14" spans="1:30" ht="15">
      <c r="A14">
        <v>2022</v>
      </c>
      <c r="B14" t="s">
        <v>178</v>
      </c>
      <c r="C14" s="2">
        <v>10000000</v>
      </c>
      <c r="D14" s="2">
        <v>25000000</v>
      </c>
      <c r="F14" s="2">
        <v>0</v>
      </c>
      <c r="G14" s="120"/>
      <c r="H14" s="2">
        <f t="shared" si="0"/>
        <v>35000000</v>
      </c>
      <c r="I14" s="2">
        <f>H14*(1+'Total Benefit Cost'!$D$6)^(A14-$A$8)</f>
        <v>44286165.64736001</v>
      </c>
      <c r="N14" s="163"/>
      <c r="O14" s="165"/>
      <c r="P14" s="163" t="s">
        <v>160</v>
      </c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</row>
    <row r="15" spans="1:17" ht="15">
      <c r="A15">
        <v>2023</v>
      </c>
      <c r="C15" s="2">
        <v>15000000</v>
      </c>
      <c r="D15" s="2">
        <v>50000000</v>
      </c>
      <c r="F15" s="2">
        <v>0</v>
      </c>
      <c r="H15" s="2">
        <f t="shared" si="0"/>
        <v>65000000</v>
      </c>
      <c r="I15" s="2">
        <f>H15*(1+'Total Benefit Cost'!$D$6)^(A15-$A$8)</f>
        <v>85535565.65032962</v>
      </c>
      <c r="Q15" s="118"/>
    </row>
    <row r="16" spans="1:18" ht="15">
      <c r="A16">
        <v>2024</v>
      </c>
      <c r="C16" s="2">
        <v>20000000</v>
      </c>
      <c r="D16" s="2">
        <v>50000000</v>
      </c>
      <c r="F16" s="2">
        <v>0</v>
      </c>
      <c r="H16" s="2">
        <f t="shared" si="0"/>
        <v>70000000</v>
      </c>
      <c r="I16" s="2">
        <f>H16*(1+'Total Benefit Cost'!$D$6)^(A16-$A$8)</f>
        <v>95799833.52836919</v>
      </c>
      <c r="O16" s="133" t="s">
        <v>157</v>
      </c>
      <c r="P16" t="s">
        <v>162</v>
      </c>
      <c r="R16" s="118"/>
    </row>
    <row r="17" spans="1:17" ht="15">
      <c r="A17">
        <v>2025</v>
      </c>
      <c r="C17" s="2">
        <v>0</v>
      </c>
      <c r="F17" s="2">
        <v>0</v>
      </c>
      <c r="H17" s="2">
        <f t="shared" si="0"/>
        <v>0</v>
      </c>
      <c r="I17" s="2">
        <f>H17*(1+'Total Benefit Cost'!$D$6)^(A17-$A$8)</f>
        <v>0</v>
      </c>
      <c r="O17" s="134"/>
      <c r="P17" t="s">
        <v>163</v>
      </c>
      <c r="Q17" s="118"/>
    </row>
    <row r="18" spans="1:17" ht="15">
      <c r="A18">
        <v>2026</v>
      </c>
      <c r="C18" s="2">
        <v>0</v>
      </c>
      <c r="F18" s="2">
        <v>0</v>
      </c>
      <c r="H18" s="2">
        <f t="shared" si="0"/>
        <v>0</v>
      </c>
      <c r="I18" s="2">
        <f>H18*(1+'Total Benefit Cost'!$D$6)^(A18-$A$8)</f>
        <v>0</v>
      </c>
      <c r="P18" t="s">
        <v>164</v>
      </c>
      <c r="Q18" s="118"/>
    </row>
    <row r="19" spans="1:18" ht="15">
      <c r="A19">
        <v>2027</v>
      </c>
      <c r="C19" s="2">
        <v>0</v>
      </c>
      <c r="F19" s="2">
        <v>0</v>
      </c>
      <c r="H19" s="2">
        <f t="shared" si="0"/>
        <v>0</v>
      </c>
      <c r="I19" s="2">
        <f>H19*(1+'Total Benefit Cost'!$D$6)^(A19-$A$8)</f>
        <v>0</v>
      </c>
      <c r="R19" s="118"/>
    </row>
    <row r="20" spans="1:17" ht="15">
      <c r="A20">
        <v>2028</v>
      </c>
      <c r="C20" s="2">
        <v>0</v>
      </c>
      <c r="D20" s="120"/>
      <c r="E20" s="2"/>
      <c r="H20" s="2">
        <f t="shared" si="0"/>
        <v>0</v>
      </c>
      <c r="I20" s="2">
        <f>H20*(1+'Total Benefit Cost'!$D$6)^(A20-$A$8)</f>
        <v>0</v>
      </c>
      <c r="O20" s="133" t="s">
        <v>158</v>
      </c>
      <c r="P20" t="s">
        <v>165</v>
      </c>
      <c r="Q20" s="118"/>
    </row>
    <row r="21" spans="1:17" ht="15">
      <c r="A21">
        <v>2029</v>
      </c>
      <c r="C21" s="2">
        <v>0</v>
      </c>
      <c r="E21" s="2" t="s">
        <v>177</v>
      </c>
      <c r="F21" s="2">
        <f>88000*4*11</f>
        <v>3872000</v>
      </c>
      <c r="G21" s="2">
        <v>4400000</v>
      </c>
      <c r="H21" s="2">
        <f t="shared" si="0"/>
        <v>-8272000</v>
      </c>
      <c r="I21" s="2">
        <f>H21*(1+'Total Benefit Cost'!$D$6)^(A21-$A$8)</f>
        <v>-13773488.052471539</v>
      </c>
      <c r="P21" t="s">
        <v>166</v>
      </c>
      <c r="Q21" s="118"/>
    </row>
    <row r="22" spans="1:19" ht="15">
      <c r="A22">
        <v>2030</v>
      </c>
      <c r="C22" s="2">
        <v>0</v>
      </c>
      <c r="F22" s="2">
        <v>0</v>
      </c>
      <c r="H22" s="2">
        <f t="shared" si="0"/>
        <v>0</v>
      </c>
      <c r="I22" s="2">
        <f>H22*(1+'Total Benefit Cost'!$D$6)^(A22-$A$8)</f>
        <v>0</v>
      </c>
      <c r="P22" s="135"/>
      <c r="Q22" s="135"/>
      <c r="R22" s="136"/>
      <c r="S22" s="135"/>
    </row>
    <row r="23" spans="1:19" ht="15">
      <c r="A23">
        <v>2031</v>
      </c>
      <c r="F23" s="2">
        <v>0</v>
      </c>
      <c r="H23" s="2">
        <f t="shared" si="0"/>
        <v>0</v>
      </c>
      <c r="I23" s="2">
        <f>H23*(1+'Total Benefit Cost'!$D$6)^(A23-$A$8)</f>
        <v>0</v>
      </c>
      <c r="P23" s="135"/>
      <c r="Q23" s="135"/>
      <c r="R23" s="135"/>
      <c r="S23" s="135"/>
    </row>
    <row r="24" spans="1:19" ht="15">
      <c r="A24">
        <v>2032</v>
      </c>
      <c r="C24" s="2">
        <v>0</v>
      </c>
      <c r="F24" s="2">
        <v>0</v>
      </c>
      <c r="H24" s="2">
        <f t="shared" si="0"/>
        <v>0</v>
      </c>
      <c r="I24" s="2">
        <f>H24*(1+'Total Benefit Cost'!$D$6)^(A24-$A$8)</f>
        <v>0</v>
      </c>
      <c r="P24" s="135"/>
      <c r="Q24" s="137"/>
      <c r="R24" s="137"/>
      <c r="S24" s="135"/>
    </row>
    <row r="25" spans="1:19" ht="15">
      <c r="A25">
        <v>2033</v>
      </c>
      <c r="C25" s="2">
        <v>0</v>
      </c>
      <c r="E25" s="2"/>
      <c r="F25" s="2">
        <v>0</v>
      </c>
      <c r="H25" s="2">
        <f t="shared" si="0"/>
        <v>0</v>
      </c>
      <c r="I25" s="2">
        <f>H25*(1+'Total Benefit Cost'!$D$6)^(A25-$A$8)</f>
        <v>0</v>
      </c>
      <c r="P25" s="135"/>
      <c r="Q25" s="135"/>
      <c r="R25" s="135"/>
      <c r="S25" s="135"/>
    </row>
    <row r="26" spans="1:19" ht="15">
      <c r="A26">
        <v>2034</v>
      </c>
      <c r="B26" t="s">
        <v>177</v>
      </c>
      <c r="C26" s="2">
        <f>88000*4*11</f>
        <v>3872000</v>
      </c>
      <c r="D26" s="2">
        <v>430000</v>
      </c>
      <c r="F26" s="2">
        <v>0</v>
      </c>
      <c r="H26" s="2">
        <f t="shared" si="0"/>
        <v>4302000</v>
      </c>
      <c r="I26" s="2">
        <f>H26*(1+'Total Benefit Cost'!$D$6)^(A26-$A$8)</f>
        <v>8715062.64915845</v>
      </c>
      <c r="P26" s="135"/>
      <c r="Q26" s="137"/>
      <c r="R26" s="135"/>
      <c r="S26" s="135"/>
    </row>
    <row r="27" spans="1:19" ht="15">
      <c r="A27">
        <v>2035</v>
      </c>
      <c r="C27" s="2">
        <v>0</v>
      </c>
      <c r="F27" s="2">
        <v>0</v>
      </c>
      <c r="H27" s="2">
        <f t="shared" si="0"/>
        <v>0</v>
      </c>
      <c r="I27" s="2">
        <f>H27*(1+'Total Benefit Cost'!$D$6)^(A27-$A$8)</f>
        <v>0</v>
      </c>
      <c r="P27" s="135"/>
      <c r="Q27" s="135"/>
      <c r="R27" s="135"/>
      <c r="S27" s="135"/>
    </row>
    <row r="28" spans="1:9" ht="15">
      <c r="A28">
        <v>2036</v>
      </c>
      <c r="C28" s="2">
        <v>0</v>
      </c>
      <c r="F28" s="2">
        <v>0</v>
      </c>
      <c r="H28" s="2">
        <f t="shared" si="0"/>
        <v>0</v>
      </c>
      <c r="I28" s="2">
        <f>H28*(1+'Total Benefit Cost'!$D$6)^(A28-$A$8)</f>
        <v>0</v>
      </c>
    </row>
    <row r="29" spans="1:9" ht="15">
      <c r="A29">
        <v>2037</v>
      </c>
      <c r="C29" s="2">
        <v>0</v>
      </c>
      <c r="F29" s="2">
        <v>0</v>
      </c>
      <c r="H29" s="2">
        <f>(C29+D29)-(F29+G29)</f>
        <v>0</v>
      </c>
      <c r="I29" s="2">
        <f>H29*(1+'Total Benefit Cost'!$D$6)^(A29-$A$8)</f>
        <v>0</v>
      </c>
    </row>
    <row r="30" spans="1:9" ht="15.75" thickBot="1">
      <c r="A30" s="144">
        <v>3038</v>
      </c>
      <c r="B30" s="144"/>
      <c r="C30" s="145">
        <v>0</v>
      </c>
      <c r="D30" s="145"/>
      <c r="E30" s="144"/>
      <c r="F30" s="145">
        <v>0</v>
      </c>
      <c r="G30" s="145"/>
      <c r="H30" s="145">
        <f>(C30+D30)-(F30+G30)</f>
        <v>0</v>
      </c>
      <c r="I30" s="145">
        <f>H30*(1+'Total Benefit Cost'!$D$6)^(A30-$A$8)</f>
        <v>0</v>
      </c>
    </row>
    <row r="31" spans="1:9" ht="15.75" thickTop="1">
      <c r="A31" s="4"/>
      <c r="C31" s="2">
        <f>SUM(C6:C30)</f>
        <v>62450000</v>
      </c>
      <c r="D31" s="2">
        <f>SUM(D6:D30)</f>
        <v>132750000</v>
      </c>
      <c r="F31" s="2">
        <f>SUM(F6:F30)</f>
        <v>49306000</v>
      </c>
      <c r="G31" s="2">
        <f>SUM(G6:G30)</f>
        <v>57240000</v>
      </c>
      <c r="H31" s="2">
        <f>SUM(H6:H30)</f>
        <v>88654000</v>
      </c>
      <c r="I31" s="2">
        <f>SUM(I6:I30)</f>
        <v>139575751.52509454</v>
      </c>
    </row>
    <row r="32" ht="15">
      <c r="A32" s="4"/>
    </row>
    <row r="33" spans="1:8" ht="15">
      <c r="A33" t="s">
        <v>111</v>
      </c>
      <c r="B33" s="85"/>
      <c r="C33" s="85"/>
      <c r="D33" s="85"/>
      <c r="E33" s="85"/>
      <c r="F33" s="85"/>
      <c r="G33" s="85"/>
      <c r="H33" s="85"/>
    </row>
    <row r="34" spans="1:8" ht="15">
      <c r="A34" s="86" t="s">
        <v>110</v>
      </c>
      <c r="B34" s="85"/>
      <c r="C34" s="85"/>
      <c r="D34" s="85"/>
      <c r="E34" s="85"/>
      <c r="F34" s="85"/>
      <c r="G34" s="85"/>
      <c r="H34" s="85"/>
    </row>
    <row r="35" spans="1:8" ht="15">
      <c r="A35" s="85"/>
      <c r="B35" s="85"/>
      <c r="C35" s="85"/>
      <c r="D35" s="85"/>
      <c r="E35" s="85"/>
      <c r="F35" s="85"/>
      <c r="G35" s="85"/>
      <c r="H35" s="85"/>
    </row>
    <row r="36" spans="1:8" ht="15">
      <c r="A36" s="85"/>
      <c r="B36" s="85"/>
      <c r="C36" s="85"/>
      <c r="D36" s="85"/>
      <c r="E36" s="85"/>
      <c r="F36" s="85"/>
      <c r="G36" s="85"/>
      <c r="H36" s="85"/>
    </row>
    <row r="37" ht="15">
      <c r="A37" s="4"/>
    </row>
    <row r="38" ht="15">
      <c r="A38" s="4"/>
    </row>
    <row r="39" ht="15">
      <c r="A39" s="4"/>
    </row>
    <row r="40" spans="1:6" ht="15">
      <c r="A40" s="4"/>
      <c r="F40" s="2" t="s">
        <v>126</v>
      </c>
    </row>
    <row r="41" ht="15">
      <c r="A41" s="4"/>
    </row>
  </sheetData>
  <sheetProtection/>
  <mergeCells count="3">
    <mergeCell ref="E4:G4"/>
    <mergeCell ref="A2:I2"/>
    <mergeCell ref="A4:D4"/>
  </mergeCells>
  <printOptions/>
  <pageMargins left="0.7" right="0.7" top="0.75" bottom="0.75" header="0.3" footer="0.3"/>
  <pageSetup fitToHeight="1" fitToWidth="1" horizontalDpi="600" verticalDpi="600" orientation="landscape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1.7109375" style="0" customWidth="1"/>
    <col min="2" max="3" width="8.8515625" style="0" customWidth="1"/>
    <col min="4" max="4" width="9.00390625" style="0" customWidth="1"/>
    <col min="5" max="5" width="7.28125" style="122" customWidth="1"/>
    <col min="6" max="6" width="5.421875" style="9" customWidth="1"/>
    <col min="7" max="7" width="5.8515625" style="9" customWidth="1"/>
    <col min="8" max="8" width="6.7109375" style="9" customWidth="1"/>
    <col min="9" max="9" width="10.28125" style="0" customWidth="1"/>
    <col min="10" max="10" width="8.8515625" style="0" customWidth="1"/>
    <col min="11" max="11" width="9.8515625" style="0" customWidth="1"/>
    <col min="12" max="12" width="8.8515625" style="0" customWidth="1"/>
    <col min="13" max="13" width="16.28125" style="0" customWidth="1"/>
    <col min="14" max="14" width="14.00390625" style="0" customWidth="1"/>
  </cols>
  <sheetData>
    <row r="1" spans="1:14" ht="18">
      <c r="A1" s="186" t="s">
        <v>185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ht="15">
      <c r="B2" t="s">
        <v>15</v>
      </c>
    </row>
    <row r="3" spans="1:2" ht="15">
      <c r="A3" t="s">
        <v>172</v>
      </c>
      <c r="B3">
        <v>21400</v>
      </c>
    </row>
    <row r="4" spans="1:2" ht="15">
      <c r="A4" t="s">
        <v>173</v>
      </c>
      <c r="B4">
        <v>29200</v>
      </c>
    </row>
    <row r="5" spans="1:3" ht="15">
      <c r="A5" t="s">
        <v>17</v>
      </c>
      <c r="B5" s="3">
        <f>(B4/B3)^(1/20)-1</f>
        <v>0.01566024566957669</v>
      </c>
      <c r="C5" s="3"/>
    </row>
    <row r="6" spans="2:3" ht="15">
      <c r="B6" s="3"/>
      <c r="C6" s="3"/>
    </row>
    <row r="7" spans="2:14" ht="15">
      <c r="B7" s="143"/>
      <c r="C7" s="143"/>
      <c r="D7" s="187" t="s">
        <v>19</v>
      </c>
      <c r="E7" s="128" t="s">
        <v>149</v>
      </c>
      <c r="F7" s="188" t="s">
        <v>47</v>
      </c>
      <c r="G7" s="188"/>
      <c r="H7" s="122"/>
      <c r="I7" s="185" t="s">
        <v>41</v>
      </c>
      <c r="J7" s="185"/>
      <c r="K7" s="185" t="s">
        <v>42</v>
      </c>
      <c r="L7" s="185"/>
      <c r="M7" s="185" t="s">
        <v>148</v>
      </c>
      <c r="N7" s="185"/>
    </row>
    <row r="8" spans="1:14" ht="13.5" customHeight="1">
      <c r="A8" s="1" t="s">
        <v>0</v>
      </c>
      <c r="B8" s="121" t="s">
        <v>18</v>
      </c>
      <c r="C8" s="1"/>
      <c r="D8" s="187"/>
      <c r="E8" s="127" t="s">
        <v>0</v>
      </c>
      <c r="F8" s="13" t="s">
        <v>15</v>
      </c>
      <c r="G8" s="13" t="s">
        <v>16</v>
      </c>
      <c r="H8" s="127" t="s">
        <v>47</v>
      </c>
      <c r="I8" s="1" t="s">
        <v>44</v>
      </c>
      <c r="J8" s="1" t="s">
        <v>25</v>
      </c>
      <c r="K8" s="1" t="s">
        <v>44</v>
      </c>
      <c r="L8" s="1" t="s">
        <v>25</v>
      </c>
      <c r="M8" s="121" t="s">
        <v>44</v>
      </c>
      <c r="N8" s="121" t="s">
        <v>25</v>
      </c>
    </row>
    <row r="9" spans="1:14" ht="13.5" customHeight="1">
      <c r="A9" s="138">
        <v>2014</v>
      </c>
      <c r="B9">
        <v>21400</v>
      </c>
      <c r="C9" s="130"/>
      <c r="D9" s="125">
        <v>0.13</v>
      </c>
      <c r="E9" s="127">
        <v>365</v>
      </c>
      <c r="F9" s="8">
        <v>11.75</v>
      </c>
      <c r="G9" s="8">
        <v>11.75</v>
      </c>
      <c r="H9" s="8">
        <v>11.75</v>
      </c>
      <c r="I9">
        <f>E9*B9*(1-D9)*F9</f>
        <v>79847947.5</v>
      </c>
      <c r="J9">
        <f>B9*E9*D9*F9</f>
        <v>11931302.5</v>
      </c>
      <c r="K9">
        <f>E9*B9*(1-D9)*G9</f>
        <v>79847947.5</v>
      </c>
      <c r="L9">
        <f>B9*E9*D9*G9</f>
        <v>11931302.5</v>
      </c>
      <c r="M9" s="5">
        <f>I9+K9</f>
        <v>159695895</v>
      </c>
      <c r="N9" s="5">
        <f>J9+L9</f>
        <v>23862605</v>
      </c>
    </row>
    <row r="10" spans="1:14" ht="13.5" customHeight="1">
      <c r="A10" s="138">
        <v>2015</v>
      </c>
      <c r="B10">
        <v>21800</v>
      </c>
      <c r="C10" s="130"/>
      <c r="D10" s="125">
        <v>0.13</v>
      </c>
      <c r="E10" s="127">
        <v>365</v>
      </c>
      <c r="F10" s="8">
        <v>11.75</v>
      </c>
      <c r="G10" s="8">
        <v>11.75</v>
      </c>
      <c r="H10" s="8">
        <v>11.75</v>
      </c>
      <c r="I10">
        <f>E10*B10*(1-D10)*F10</f>
        <v>81340432.5</v>
      </c>
      <c r="J10">
        <f>B10*E10*D10*F10</f>
        <v>12154317.5</v>
      </c>
      <c r="K10">
        <f>E10*B10*(1-D10)*G10</f>
        <v>81340432.5</v>
      </c>
      <c r="L10">
        <f>B10*E10*D10*G10</f>
        <v>12154317.5</v>
      </c>
      <c r="M10" s="5">
        <f>I10+K10</f>
        <v>162680865</v>
      </c>
      <c r="N10" s="5">
        <f>J10+L10</f>
        <v>24308635</v>
      </c>
    </row>
    <row r="11" spans="1:15" ht="15">
      <c r="A11">
        <v>2016</v>
      </c>
      <c r="B11">
        <v>22200</v>
      </c>
      <c r="C11" s="5"/>
      <c r="D11" s="125">
        <v>0.13</v>
      </c>
      <c r="E11" s="122">
        <v>366</v>
      </c>
      <c r="F11" s="8">
        <v>11.75</v>
      </c>
      <c r="G11" s="8">
        <v>11.75</v>
      </c>
      <c r="H11" s="8">
        <v>11.75</v>
      </c>
      <c r="I11">
        <f aca="true" t="shared" si="0" ref="I11:I31">E11*B11*(1-D11)*F11</f>
        <v>83059857</v>
      </c>
      <c r="J11">
        <f aca="true" t="shared" si="1" ref="J11:J31">B11*E11*D11*F11</f>
        <v>12411243</v>
      </c>
      <c r="K11">
        <f>E11*B11*(1-D11)*G11</f>
        <v>83059857</v>
      </c>
      <c r="L11">
        <f aca="true" t="shared" si="2" ref="L11:L31">B11*E11*D11*G11</f>
        <v>12411243</v>
      </c>
      <c r="M11" s="170">
        <f>I11+K11</f>
        <v>166119714</v>
      </c>
      <c r="N11" s="170">
        <f>J11+L11</f>
        <v>24822486</v>
      </c>
      <c r="O11" t="s">
        <v>183</v>
      </c>
    </row>
    <row r="12" spans="1:15" ht="15">
      <c r="A12">
        <v>2017</v>
      </c>
      <c r="B12">
        <v>22700</v>
      </c>
      <c r="C12" s="5"/>
      <c r="D12" s="125">
        <v>0.13</v>
      </c>
      <c r="E12" s="122">
        <v>365</v>
      </c>
      <c r="F12" s="8">
        <v>11.75</v>
      </c>
      <c r="G12" s="8">
        <v>11.75</v>
      </c>
      <c r="H12" s="8">
        <v>11.75</v>
      </c>
      <c r="I12">
        <f t="shared" si="0"/>
        <v>84698523.75</v>
      </c>
      <c r="J12">
        <f t="shared" si="1"/>
        <v>12656101.25</v>
      </c>
      <c r="K12">
        <f aca="true" t="shared" si="3" ref="K12:K31">E12*B12*(1-D12)*G12</f>
        <v>84698523.75</v>
      </c>
      <c r="L12">
        <f t="shared" si="2"/>
        <v>12656101.25</v>
      </c>
      <c r="M12" s="170">
        <f aca="true" t="shared" si="4" ref="M12:M31">I12+K12</f>
        <v>169397047.5</v>
      </c>
      <c r="N12" s="170">
        <f aca="true" t="shared" si="5" ref="N12:N31">J12+L12</f>
        <v>25312202.5</v>
      </c>
      <c r="O12" t="s">
        <v>0</v>
      </c>
    </row>
    <row r="13" spans="1:14" ht="15">
      <c r="A13">
        <v>2018</v>
      </c>
      <c r="B13">
        <v>23100</v>
      </c>
      <c r="C13" s="5"/>
      <c r="D13" s="125">
        <v>0.13</v>
      </c>
      <c r="E13" s="122">
        <v>365</v>
      </c>
      <c r="F13" s="8">
        <v>11.75</v>
      </c>
      <c r="G13" s="8">
        <v>11.75</v>
      </c>
      <c r="H13" s="8">
        <v>11.75</v>
      </c>
      <c r="I13">
        <f t="shared" si="0"/>
        <v>86191008.75</v>
      </c>
      <c r="J13">
        <f t="shared" si="1"/>
        <v>12879116.25</v>
      </c>
      <c r="K13">
        <f t="shared" si="3"/>
        <v>86191008.75</v>
      </c>
      <c r="L13">
        <f t="shared" si="2"/>
        <v>12879116.25</v>
      </c>
      <c r="M13" s="170">
        <f t="shared" si="4"/>
        <v>172382017.5</v>
      </c>
      <c r="N13" s="170">
        <f t="shared" si="5"/>
        <v>25758232.5</v>
      </c>
    </row>
    <row r="14" spans="1:14" ht="15">
      <c r="A14">
        <v>2019</v>
      </c>
      <c r="B14">
        <v>23500</v>
      </c>
      <c r="C14" s="5"/>
      <c r="D14" s="125">
        <v>0.13</v>
      </c>
      <c r="E14" s="122">
        <v>365</v>
      </c>
      <c r="F14" s="8">
        <v>11.75</v>
      </c>
      <c r="G14" s="8">
        <v>11.75</v>
      </c>
      <c r="H14" s="8">
        <v>11.75</v>
      </c>
      <c r="I14">
        <f t="shared" si="0"/>
        <v>87683493.75</v>
      </c>
      <c r="J14">
        <f t="shared" si="1"/>
        <v>13102131.25</v>
      </c>
      <c r="K14">
        <f t="shared" si="3"/>
        <v>87683493.75</v>
      </c>
      <c r="L14">
        <f t="shared" si="2"/>
        <v>13102131.25</v>
      </c>
      <c r="M14" s="5">
        <f t="shared" si="4"/>
        <v>175366987.5</v>
      </c>
      <c r="N14" s="5">
        <f t="shared" si="5"/>
        <v>26204262.5</v>
      </c>
    </row>
    <row r="15" spans="1:14" ht="15">
      <c r="A15" s="138">
        <v>2020</v>
      </c>
      <c r="B15">
        <v>23900</v>
      </c>
      <c r="C15" s="5"/>
      <c r="D15" s="125">
        <v>0.13</v>
      </c>
      <c r="E15" s="131">
        <v>366</v>
      </c>
      <c r="F15" s="8">
        <v>11.75</v>
      </c>
      <c r="G15" s="8">
        <v>11.75</v>
      </c>
      <c r="H15" s="8">
        <v>11.75</v>
      </c>
      <c r="I15">
        <f t="shared" si="0"/>
        <v>89420296.5</v>
      </c>
      <c r="J15">
        <f t="shared" si="1"/>
        <v>13361653.5</v>
      </c>
      <c r="K15">
        <f t="shared" si="3"/>
        <v>89420296.5</v>
      </c>
      <c r="L15">
        <f t="shared" si="2"/>
        <v>13361653.5</v>
      </c>
      <c r="M15" s="5">
        <f t="shared" si="4"/>
        <v>178840593</v>
      </c>
      <c r="N15" s="5">
        <f t="shared" si="5"/>
        <v>26723307</v>
      </c>
    </row>
    <row r="16" spans="1:14" ht="15">
      <c r="A16" s="138">
        <v>2021</v>
      </c>
      <c r="B16">
        <v>24300</v>
      </c>
      <c r="C16" s="5"/>
      <c r="D16" s="125">
        <v>0.13</v>
      </c>
      <c r="E16" s="131">
        <v>365</v>
      </c>
      <c r="F16" s="8">
        <v>11.75</v>
      </c>
      <c r="G16" s="8">
        <v>11.75</v>
      </c>
      <c r="H16" s="8">
        <v>11.75</v>
      </c>
      <c r="I16">
        <f t="shared" si="0"/>
        <v>90668463.75</v>
      </c>
      <c r="J16">
        <f t="shared" si="1"/>
        <v>13548161.25</v>
      </c>
      <c r="K16">
        <f t="shared" si="3"/>
        <v>90668463.75</v>
      </c>
      <c r="L16">
        <f t="shared" si="2"/>
        <v>13548161.25</v>
      </c>
      <c r="M16" s="5">
        <f t="shared" si="4"/>
        <v>181336927.5</v>
      </c>
      <c r="N16" s="5">
        <f t="shared" si="5"/>
        <v>27096322.5</v>
      </c>
    </row>
    <row r="17" spans="1:15" ht="15">
      <c r="A17">
        <v>2022</v>
      </c>
      <c r="B17">
        <v>24700</v>
      </c>
      <c r="C17" s="5"/>
      <c r="D17" s="125">
        <v>0.13</v>
      </c>
      <c r="E17" s="131">
        <v>365</v>
      </c>
      <c r="F17" s="8">
        <v>11.75</v>
      </c>
      <c r="G17" s="8">
        <v>11.75</v>
      </c>
      <c r="H17" s="8">
        <v>11.75</v>
      </c>
      <c r="I17">
        <f t="shared" si="0"/>
        <v>92160948.75</v>
      </c>
      <c r="J17">
        <f t="shared" si="1"/>
        <v>13771176.25</v>
      </c>
      <c r="K17">
        <f t="shared" si="3"/>
        <v>92160948.75</v>
      </c>
      <c r="L17">
        <f t="shared" si="2"/>
        <v>13771176.25</v>
      </c>
      <c r="M17" s="170">
        <f t="shared" si="4"/>
        <v>184321897.5</v>
      </c>
      <c r="N17" s="170">
        <f t="shared" si="5"/>
        <v>27542352.5</v>
      </c>
      <c r="O17" t="s">
        <v>184</v>
      </c>
    </row>
    <row r="18" spans="1:15" ht="15">
      <c r="A18">
        <v>2023</v>
      </c>
      <c r="B18">
        <v>25100</v>
      </c>
      <c r="C18" s="5"/>
      <c r="D18" s="125">
        <v>0.13</v>
      </c>
      <c r="E18" s="131">
        <v>365</v>
      </c>
      <c r="F18" s="8">
        <v>11.75</v>
      </c>
      <c r="G18" s="8">
        <v>11.75</v>
      </c>
      <c r="H18" s="8">
        <v>11.75</v>
      </c>
      <c r="I18">
        <f t="shared" si="0"/>
        <v>93653433.75</v>
      </c>
      <c r="J18">
        <f t="shared" si="1"/>
        <v>13994191.25</v>
      </c>
      <c r="K18">
        <f t="shared" si="3"/>
        <v>93653433.75</v>
      </c>
      <c r="L18">
        <f t="shared" si="2"/>
        <v>13994191.25</v>
      </c>
      <c r="M18" s="170">
        <f t="shared" si="4"/>
        <v>187306867.5</v>
      </c>
      <c r="N18" s="170">
        <f t="shared" si="5"/>
        <v>27988382.5</v>
      </c>
      <c r="O18" t="s">
        <v>0</v>
      </c>
    </row>
    <row r="19" spans="1:14" ht="15">
      <c r="A19">
        <v>2024</v>
      </c>
      <c r="B19">
        <v>25400</v>
      </c>
      <c r="C19" s="5"/>
      <c r="D19" s="125">
        <v>0.13</v>
      </c>
      <c r="E19" s="131">
        <v>366</v>
      </c>
      <c r="F19" s="8">
        <v>11.75</v>
      </c>
      <c r="G19" s="8">
        <v>11.75</v>
      </c>
      <c r="H19" s="8">
        <v>11.75</v>
      </c>
      <c r="I19">
        <f t="shared" si="0"/>
        <v>95032449</v>
      </c>
      <c r="J19">
        <f t="shared" si="1"/>
        <v>14200251</v>
      </c>
      <c r="K19">
        <f t="shared" si="3"/>
        <v>95032449</v>
      </c>
      <c r="L19">
        <f t="shared" si="2"/>
        <v>14200251</v>
      </c>
      <c r="M19" s="170">
        <f t="shared" si="4"/>
        <v>190064898</v>
      </c>
      <c r="N19" s="170">
        <f t="shared" si="5"/>
        <v>28400502</v>
      </c>
    </row>
    <row r="20" spans="1:14" ht="15">
      <c r="A20">
        <v>2025</v>
      </c>
      <c r="B20">
        <v>25800</v>
      </c>
      <c r="C20" s="5"/>
      <c r="D20" s="125">
        <v>0.13</v>
      </c>
      <c r="E20" s="131">
        <v>365</v>
      </c>
      <c r="F20" s="8">
        <v>11.75</v>
      </c>
      <c r="G20" s="8">
        <v>11.75</v>
      </c>
      <c r="H20" s="8">
        <v>11.75</v>
      </c>
      <c r="I20">
        <f t="shared" si="0"/>
        <v>96265282.5</v>
      </c>
      <c r="J20">
        <f t="shared" si="1"/>
        <v>14384467.5</v>
      </c>
      <c r="K20">
        <f t="shared" si="3"/>
        <v>96265282.5</v>
      </c>
      <c r="L20">
        <f t="shared" si="2"/>
        <v>14384467.5</v>
      </c>
      <c r="M20" s="5">
        <f t="shared" si="4"/>
        <v>192530565</v>
      </c>
      <c r="N20" s="5">
        <f t="shared" si="5"/>
        <v>28768935</v>
      </c>
    </row>
    <row r="21" spans="1:14" ht="15">
      <c r="A21" s="138">
        <v>2026</v>
      </c>
      <c r="B21">
        <v>26200</v>
      </c>
      <c r="C21" s="5"/>
      <c r="D21" s="125">
        <v>0.13</v>
      </c>
      <c r="E21" s="131">
        <v>365</v>
      </c>
      <c r="F21" s="8">
        <v>11.75</v>
      </c>
      <c r="G21" s="8">
        <v>11.75</v>
      </c>
      <c r="H21" s="8">
        <v>11.75</v>
      </c>
      <c r="I21">
        <f t="shared" si="0"/>
        <v>97757767.5</v>
      </c>
      <c r="J21">
        <f t="shared" si="1"/>
        <v>14607482.5</v>
      </c>
      <c r="K21">
        <f t="shared" si="3"/>
        <v>97757767.5</v>
      </c>
      <c r="L21">
        <f t="shared" si="2"/>
        <v>14607482.5</v>
      </c>
      <c r="M21" s="5">
        <f t="shared" si="4"/>
        <v>195515535</v>
      </c>
      <c r="N21" s="5">
        <f t="shared" si="5"/>
        <v>29214965</v>
      </c>
    </row>
    <row r="22" spans="1:14" ht="15">
      <c r="A22" s="138">
        <v>2027</v>
      </c>
      <c r="B22">
        <v>26600</v>
      </c>
      <c r="C22" s="5"/>
      <c r="D22" s="125">
        <v>0.13</v>
      </c>
      <c r="E22" s="131">
        <v>365</v>
      </c>
      <c r="F22" s="8">
        <v>11.75</v>
      </c>
      <c r="G22" s="8">
        <v>11.75</v>
      </c>
      <c r="H22" s="8">
        <v>11.75</v>
      </c>
      <c r="I22">
        <f t="shared" si="0"/>
        <v>99250252.5</v>
      </c>
      <c r="J22">
        <f t="shared" si="1"/>
        <v>14830497.5</v>
      </c>
      <c r="K22">
        <f t="shared" si="3"/>
        <v>99250252.5</v>
      </c>
      <c r="L22">
        <f t="shared" si="2"/>
        <v>14830497.5</v>
      </c>
      <c r="M22" s="5">
        <f t="shared" si="4"/>
        <v>198500505</v>
      </c>
      <c r="N22" s="5">
        <f t="shared" si="5"/>
        <v>29660995</v>
      </c>
    </row>
    <row r="23" spans="1:14" ht="15">
      <c r="A23">
        <v>2028</v>
      </c>
      <c r="B23">
        <v>27000</v>
      </c>
      <c r="C23" s="5"/>
      <c r="D23" s="125">
        <v>0.13</v>
      </c>
      <c r="E23" s="131">
        <v>366</v>
      </c>
      <c r="F23" s="8">
        <v>11.75</v>
      </c>
      <c r="G23" s="8">
        <v>11.75</v>
      </c>
      <c r="H23" s="8">
        <v>11.75</v>
      </c>
      <c r="I23">
        <f t="shared" si="0"/>
        <v>101018745</v>
      </c>
      <c r="J23">
        <f t="shared" si="1"/>
        <v>15094755</v>
      </c>
      <c r="K23">
        <f t="shared" si="3"/>
        <v>101018745</v>
      </c>
      <c r="L23">
        <f t="shared" si="2"/>
        <v>15094755</v>
      </c>
      <c r="M23" s="5">
        <f t="shared" si="4"/>
        <v>202037490</v>
      </c>
      <c r="N23" s="5">
        <f t="shared" si="5"/>
        <v>30189510</v>
      </c>
    </row>
    <row r="24" spans="1:14" ht="15">
      <c r="A24">
        <v>2029</v>
      </c>
      <c r="B24">
        <v>27400</v>
      </c>
      <c r="C24" s="5"/>
      <c r="D24" s="125">
        <v>0.13</v>
      </c>
      <c r="E24" s="131">
        <v>365</v>
      </c>
      <c r="F24" s="8">
        <v>11.75</v>
      </c>
      <c r="G24" s="8">
        <v>11.75</v>
      </c>
      <c r="H24" s="8">
        <v>11.75</v>
      </c>
      <c r="I24">
        <f t="shared" si="0"/>
        <v>102235222.5</v>
      </c>
      <c r="J24">
        <f t="shared" si="1"/>
        <v>15276527.5</v>
      </c>
      <c r="K24">
        <f t="shared" si="3"/>
        <v>102235222.5</v>
      </c>
      <c r="L24">
        <f t="shared" si="2"/>
        <v>15276527.5</v>
      </c>
      <c r="M24" s="5">
        <f t="shared" si="4"/>
        <v>204470445</v>
      </c>
      <c r="N24" s="5">
        <f t="shared" si="5"/>
        <v>30553055</v>
      </c>
    </row>
    <row r="25" spans="1:14" ht="15">
      <c r="A25">
        <v>2030</v>
      </c>
      <c r="B25">
        <v>27700</v>
      </c>
      <c r="C25" s="5"/>
      <c r="D25" s="125">
        <v>0.13</v>
      </c>
      <c r="E25" s="131">
        <v>365</v>
      </c>
      <c r="F25" s="8">
        <v>11.75</v>
      </c>
      <c r="G25" s="8">
        <v>11.75</v>
      </c>
      <c r="H25" s="8">
        <v>11.75</v>
      </c>
      <c r="I25">
        <f t="shared" si="0"/>
        <v>103354586.25</v>
      </c>
      <c r="J25">
        <f t="shared" si="1"/>
        <v>15443788.75</v>
      </c>
      <c r="K25">
        <f t="shared" si="3"/>
        <v>103354586.25</v>
      </c>
      <c r="L25">
        <f t="shared" si="2"/>
        <v>15443788.75</v>
      </c>
      <c r="M25" s="5">
        <f t="shared" si="4"/>
        <v>206709172.5</v>
      </c>
      <c r="N25" s="5">
        <f t="shared" si="5"/>
        <v>30887577.5</v>
      </c>
    </row>
    <row r="26" spans="1:14" ht="15">
      <c r="A26">
        <v>2031</v>
      </c>
      <c r="B26">
        <v>28100</v>
      </c>
      <c r="C26" s="5"/>
      <c r="D26" s="125">
        <v>0.13</v>
      </c>
      <c r="E26" s="131">
        <v>365</v>
      </c>
      <c r="F26" s="8">
        <v>11.75</v>
      </c>
      <c r="G26" s="8">
        <v>11.75</v>
      </c>
      <c r="H26" s="8">
        <v>11.75</v>
      </c>
      <c r="I26">
        <f t="shared" si="0"/>
        <v>104847071.25</v>
      </c>
      <c r="J26">
        <f t="shared" si="1"/>
        <v>15666803.75</v>
      </c>
      <c r="K26">
        <f t="shared" si="3"/>
        <v>104847071.25</v>
      </c>
      <c r="L26">
        <f t="shared" si="2"/>
        <v>15666803.75</v>
      </c>
      <c r="M26" s="5">
        <f t="shared" si="4"/>
        <v>209694142.5</v>
      </c>
      <c r="N26" s="5">
        <f t="shared" si="5"/>
        <v>31333607.5</v>
      </c>
    </row>
    <row r="27" spans="1:14" ht="15">
      <c r="A27" s="138">
        <v>2032</v>
      </c>
      <c r="B27">
        <v>28400</v>
      </c>
      <c r="C27" s="5"/>
      <c r="D27" s="125">
        <v>0.13</v>
      </c>
      <c r="E27" s="131">
        <v>366</v>
      </c>
      <c r="F27" s="8">
        <v>11.75</v>
      </c>
      <c r="G27" s="8">
        <v>11.75</v>
      </c>
      <c r="H27" s="8">
        <v>11.75</v>
      </c>
      <c r="I27">
        <f t="shared" si="0"/>
        <v>106256754</v>
      </c>
      <c r="J27">
        <f t="shared" si="1"/>
        <v>15877446</v>
      </c>
      <c r="K27">
        <f t="shared" si="3"/>
        <v>106256754</v>
      </c>
      <c r="L27">
        <f t="shared" si="2"/>
        <v>15877446</v>
      </c>
      <c r="M27" s="5">
        <f t="shared" si="4"/>
        <v>212513508</v>
      </c>
      <c r="N27" s="5">
        <f t="shared" si="5"/>
        <v>31754892</v>
      </c>
    </row>
    <row r="28" spans="1:14" ht="15">
      <c r="A28" s="138">
        <v>2033</v>
      </c>
      <c r="B28">
        <v>28800</v>
      </c>
      <c r="C28" s="5"/>
      <c r="D28" s="125">
        <v>0.13</v>
      </c>
      <c r="E28" s="131">
        <v>365</v>
      </c>
      <c r="F28" s="8">
        <v>11.75</v>
      </c>
      <c r="G28" s="8">
        <v>11.75</v>
      </c>
      <c r="H28" s="8">
        <v>11.75</v>
      </c>
      <c r="I28">
        <f t="shared" si="0"/>
        <v>107458920</v>
      </c>
      <c r="J28">
        <f t="shared" si="1"/>
        <v>16057080</v>
      </c>
      <c r="K28">
        <f t="shared" si="3"/>
        <v>107458920</v>
      </c>
      <c r="L28">
        <f t="shared" si="2"/>
        <v>16057080</v>
      </c>
      <c r="M28" s="5">
        <f t="shared" si="4"/>
        <v>214917840</v>
      </c>
      <c r="N28" s="5">
        <f t="shared" si="5"/>
        <v>32114160</v>
      </c>
    </row>
    <row r="29" spans="1:14" ht="15">
      <c r="A29">
        <v>2034</v>
      </c>
      <c r="B29">
        <v>29200</v>
      </c>
      <c r="C29" s="5"/>
      <c r="D29" s="125">
        <v>0.13</v>
      </c>
      <c r="E29" s="131">
        <v>365</v>
      </c>
      <c r="F29" s="8">
        <v>11.75</v>
      </c>
      <c r="G29" s="8">
        <v>11.75</v>
      </c>
      <c r="H29" s="8">
        <v>11.75</v>
      </c>
      <c r="I29">
        <f t="shared" si="0"/>
        <v>108951405</v>
      </c>
      <c r="J29">
        <f t="shared" si="1"/>
        <v>16280095</v>
      </c>
      <c r="K29">
        <f t="shared" si="3"/>
        <v>108951405</v>
      </c>
      <c r="L29">
        <f t="shared" si="2"/>
        <v>16280095</v>
      </c>
      <c r="M29" s="5">
        <f t="shared" si="4"/>
        <v>217902810</v>
      </c>
      <c r="N29" s="5">
        <f t="shared" si="5"/>
        <v>32560190</v>
      </c>
    </row>
    <row r="30" spans="1:14" ht="15">
      <c r="A30">
        <v>2035</v>
      </c>
      <c r="B30">
        <v>29500</v>
      </c>
      <c r="C30" s="5"/>
      <c r="D30" s="125">
        <v>0.13</v>
      </c>
      <c r="E30" s="131">
        <v>365</v>
      </c>
      <c r="F30" s="8">
        <v>11.75</v>
      </c>
      <c r="G30" s="8">
        <v>11.75</v>
      </c>
      <c r="H30" s="8">
        <v>11.75</v>
      </c>
      <c r="I30">
        <f t="shared" si="0"/>
        <v>110070768.75</v>
      </c>
      <c r="J30">
        <f t="shared" si="1"/>
        <v>16447356.25</v>
      </c>
      <c r="K30">
        <f t="shared" si="3"/>
        <v>110070768.75</v>
      </c>
      <c r="L30">
        <f t="shared" si="2"/>
        <v>16447356.25</v>
      </c>
      <c r="M30" s="5">
        <f t="shared" si="4"/>
        <v>220141537.5</v>
      </c>
      <c r="N30" s="5">
        <f t="shared" si="5"/>
        <v>32894712.5</v>
      </c>
    </row>
    <row r="31" spans="1:14" ht="15">
      <c r="A31">
        <v>2036</v>
      </c>
      <c r="B31">
        <v>29900</v>
      </c>
      <c r="C31" s="5"/>
      <c r="D31" s="125">
        <v>0.13</v>
      </c>
      <c r="E31" s="122">
        <v>366</v>
      </c>
      <c r="F31" s="8">
        <v>11.75</v>
      </c>
      <c r="G31" s="8">
        <v>11.75</v>
      </c>
      <c r="H31" s="8">
        <v>11.75</v>
      </c>
      <c r="I31">
        <f t="shared" si="0"/>
        <v>111868906.5</v>
      </c>
      <c r="J31">
        <f t="shared" si="1"/>
        <v>16716043.5</v>
      </c>
      <c r="K31">
        <f t="shared" si="3"/>
        <v>111868906.5</v>
      </c>
      <c r="L31">
        <f t="shared" si="2"/>
        <v>16716043.5</v>
      </c>
      <c r="M31" s="5">
        <f t="shared" si="4"/>
        <v>223737813</v>
      </c>
      <c r="N31" s="5">
        <f t="shared" si="5"/>
        <v>33432087</v>
      </c>
    </row>
    <row r="32" spans="1:14" ht="15">
      <c r="A32" s="138">
        <v>2037</v>
      </c>
      <c r="B32">
        <v>30200</v>
      </c>
      <c r="D32" s="125">
        <v>0.13</v>
      </c>
      <c r="E32" s="122">
        <v>365</v>
      </c>
      <c r="F32" s="8">
        <v>11.75</v>
      </c>
      <c r="G32" s="8">
        <v>11.75</v>
      </c>
      <c r="H32" s="8">
        <v>11.75</v>
      </c>
      <c r="I32">
        <f>E32*B32*(1-D32)*F32</f>
        <v>112682617.5</v>
      </c>
      <c r="J32">
        <f>B32*E32*D32*F32</f>
        <v>16837632.5</v>
      </c>
      <c r="K32">
        <f>E32*B32*(1-D32)*G32</f>
        <v>112682617.5</v>
      </c>
      <c r="L32">
        <f>B32*E32*D32*G32</f>
        <v>16837632.5</v>
      </c>
      <c r="M32" s="5">
        <f>I32+K32</f>
        <v>225365235</v>
      </c>
      <c r="N32" s="5">
        <f>J32+L32</f>
        <v>33675265</v>
      </c>
    </row>
    <row r="33" spans="1:14" ht="15">
      <c r="A33">
        <v>2038</v>
      </c>
      <c r="B33">
        <v>30600</v>
      </c>
      <c r="D33" s="125">
        <v>0.13</v>
      </c>
      <c r="E33" s="122">
        <v>365</v>
      </c>
      <c r="F33" s="8">
        <v>11.75</v>
      </c>
      <c r="G33" s="8">
        <v>11.75</v>
      </c>
      <c r="H33" s="8">
        <v>11.75</v>
      </c>
      <c r="I33">
        <f>E33*B33*(1-D33)*F33</f>
        <v>114175102.5</v>
      </c>
      <c r="J33">
        <f>B33*E33*D33*F33</f>
        <v>17060647.5</v>
      </c>
      <c r="K33">
        <f>E33*B33*(1-D33)*G33</f>
        <v>114175102.5</v>
      </c>
      <c r="L33">
        <f>B33*E33*D33*G33</f>
        <v>17060647.5</v>
      </c>
      <c r="M33" s="5">
        <f>I33+K33</f>
        <v>228350205</v>
      </c>
      <c r="N33" s="5">
        <f>J33+L33</f>
        <v>34121295</v>
      </c>
    </row>
  </sheetData>
  <sheetProtection/>
  <mergeCells count="6">
    <mergeCell ref="M7:N7"/>
    <mergeCell ref="A1:N1"/>
    <mergeCell ref="D7:D8"/>
    <mergeCell ref="K7:L7"/>
    <mergeCell ref="I7:J7"/>
    <mergeCell ref="F7:G7"/>
  </mergeCells>
  <printOptions/>
  <pageMargins left="0.7" right="0.7" top="0.75" bottom="0.75" header="0.3" footer="0.3"/>
  <pageSetup fitToHeight="1" fitToWidth="1" horizontalDpi="600" verticalDpi="600" orientation="portrait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zoomScalePageLayoutView="0" workbookViewId="0" topLeftCell="A1">
      <selection activeCell="I56" sqref="I56"/>
    </sheetView>
  </sheetViews>
  <sheetFormatPr defaultColWidth="9.140625" defaultRowHeight="15"/>
  <cols>
    <col min="1" max="1" width="14.00390625" style="6" customWidth="1"/>
    <col min="2" max="2" width="9.140625" style="6" customWidth="1"/>
    <col min="3" max="3" width="13.00390625" style="6" customWidth="1"/>
    <col min="4" max="4" width="16.00390625" style="6" customWidth="1"/>
    <col min="5" max="5" width="9.140625" style="6" customWidth="1"/>
    <col min="6" max="6" width="14.57421875" style="6" customWidth="1"/>
    <col min="7" max="7" width="13.7109375" style="6" customWidth="1"/>
    <col min="8" max="8" width="14.28125" style="6" customWidth="1"/>
    <col min="9" max="9" width="30.421875" style="6" customWidth="1"/>
    <col min="10" max="10" width="14.140625" style="6" customWidth="1"/>
    <col min="11" max="11" width="13.8515625" style="6" customWidth="1"/>
    <col min="12" max="12" width="9.140625" style="6" customWidth="1"/>
    <col min="13" max="13" width="8.7109375" style="6" customWidth="1"/>
    <col min="14" max="14" width="9.140625" style="6" customWidth="1"/>
    <col min="15" max="15" width="7.28125" style="6" customWidth="1"/>
    <col min="16" max="16" width="5.7109375" style="6" customWidth="1"/>
    <col min="17" max="17" width="9.421875" style="6" customWidth="1"/>
    <col min="18" max="19" width="9.140625" style="6" customWidth="1"/>
    <col min="20" max="20" width="9.7109375" style="6" bestFit="1" customWidth="1"/>
    <col min="21" max="21" width="13.7109375" style="6" customWidth="1"/>
    <col min="22" max="16384" width="9.140625" style="6" customWidth="1"/>
  </cols>
  <sheetData>
    <row r="1" spans="1:9" ht="15">
      <c r="A1" s="184" t="s">
        <v>187</v>
      </c>
      <c r="B1" s="184"/>
      <c r="C1" s="184"/>
      <c r="D1" s="184"/>
      <c r="E1" s="184"/>
      <c r="F1" s="184"/>
      <c r="G1" s="184"/>
      <c r="H1" s="184"/>
      <c r="I1" s="184"/>
    </row>
    <row r="2" spans="1:9" ht="15">
      <c r="A2"/>
      <c r="B2"/>
      <c r="C2" s="2"/>
      <c r="D2" s="2"/>
      <c r="E2"/>
      <c r="F2" s="2"/>
      <c r="G2" s="2"/>
      <c r="H2"/>
      <c r="I2"/>
    </row>
    <row r="3" spans="1:9" ht="15">
      <c r="A3" s="181" t="s">
        <v>176</v>
      </c>
      <c r="B3" s="182"/>
      <c r="C3" s="182"/>
      <c r="D3" s="183"/>
      <c r="E3" s="181" t="s">
        <v>175</v>
      </c>
      <c r="F3" s="182"/>
      <c r="G3" s="183"/>
      <c r="H3" s="100" t="s">
        <v>14</v>
      </c>
      <c r="I3" s="100" t="s">
        <v>155</v>
      </c>
    </row>
    <row r="4" spans="1:9" ht="15">
      <c r="A4"/>
      <c r="B4" t="s">
        <v>1</v>
      </c>
      <c r="C4" s="2" t="s">
        <v>12</v>
      </c>
      <c r="D4" s="2" t="s">
        <v>109</v>
      </c>
      <c r="E4" t="s">
        <v>1</v>
      </c>
      <c r="F4" s="2" t="s">
        <v>13</v>
      </c>
      <c r="G4" s="2" t="s">
        <v>109</v>
      </c>
      <c r="H4" s="88" t="s">
        <v>174</v>
      </c>
      <c r="I4" s="88" t="s">
        <v>112</v>
      </c>
    </row>
    <row r="5" spans="1:9" ht="15">
      <c r="A5">
        <v>2014</v>
      </c>
      <c r="B5"/>
      <c r="C5" s="2">
        <v>217000</v>
      </c>
      <c r="D5" s="2">
        <v>420000</v>
      </c>
      <c r="E5"/>
      <c r="F5" s="2">
        <v>217000</v>
      </c>
      <c r="G5" s="2">
        <v>420000</v>
      </c>
      <c r="H5" s="2">
        <f>(C5+D5)-(F5+G5)</f>
        <v>0</v>
      </c>
      <c r="I5" s="2">
        <f>H5*(1+'Total Benefit Cost'!$D$6)^(A5-$A$8)</f>
        <v>0</v>
      </c>
    </row>
    <row r="6" spans="1:9" ht="15">
      <c r="A6">
        <v>2015</v>
      </c>
      <c r="B6"/>
      <c r="C6" s="2">
        <v>217000</v>
      </c>
      <c r="D6" s="2">
        <v>420000</v>
      </c>
      <c r="E6"/>
      <c r="F6" s="2">
        <v>217000</v>
      </c>
      <c r="G6" s="2">
        <v>420000</v>
      </c>
      <c r="H6" s="2">
        <f>(C6+D6)-(F6+G6)</f>
        <v>0</v>
      </c>
      <c r="I6" s="2">
        <f>H6*(1+'Total Benefit Cost'!$D$6)^(A6-$A$8)</f>
        <v>0</v>
      </c>
    </row>
    <row r="7" spans="1:9" ht="15">
      <c r="A7">
        <v>2016</v>
      </c>
      <c r="B7" t="s">
        <v>11</v>
      </c>
      <c r="C7" s="172">
        <f>8184000</f>
        <v>8184000</v>
      </c>
      <c r="D7" s="171">
        <f>25000*60*2</f>
        <v>3000000</v>
      </c>
      <c r="E7" s="2" t="s">
        <v>12</v>
      </c>
      <c r="F7" s="2">
        <v>10000000</v>
      </c>
      <c r="G7" s="2">
        <v>8000000</v>
      </c>
      <c r="H7" s="2">
        <f>(C7+D7)-(F7+G7)</f>
        <v>-6816000</v>
      </c>
      <c r="I7" s="2">
        <f>H7*(1+'Total Benefit Cost'!$D$6)^(A7-$A$8)</f>
        <v>-6553846.153846153</v>
      </c>
    </row>
    <row r="8" spans="1:9" ht="15">
      <c r="A8">
        <v>2017</v>
      </c>
      <c r="B8" t="s">
        <v>177</v>
      </c>
      <c r="C8" s="2">
        <v>217000</v>
      </c>
      <c r="D8" s="2">
        <v>420000</v>
      </c>
      <c r="E8"/>
      <c r="F8" s="2">
        <v>15000000</v>
      </c>
      <c r="G8" s="2">
        <v>22000000</v>
      </c>
      <c r="H8" s="2">
        <f>(C8+D8)-(F8+G8)</f>
        <v>-36363000</v>
      </c>
      <c r="I8" s="2">
        <f>H8*(1+'Total Benefit Cost'!$D$6)^(A8-$A$8)</f>
        <v>-36363000</v>
      </c>
    </row>
    <row r="9" spans="1:9" ht="15">
      <c r="A9">
        <v>2018</v>
      </c>
      <c r="B9" t="s">
        <v>179</v>
      </c>
      <c r="C9" s="2">
        <v>217000</v>
      </c>
      <c r="D9" s="2">
        <v>420000</v>
      </c>
      <c r="E9"/>
      <c r="F9" s="2">
        <v>20000000</v>
      </c>
      <c r="G9" s="2">
        <v>22000000</v>
      </c>
      <c r="H9" s="2">
        <f>(C9+D9)-(F9+G9)</f>
        <v>-41363000</v>
      </c>
      <c r="I9" s="2">
        <f>H9*(1+'Total Benefit Cost'!$D$6)^(A9-$A$8)</f>
        <v>-43017520</v>
      </c>
    </row>
    <row r="10" spans="1:9" ht="15">
      <c r="A10">
        <v>2019</v>
      </c>
      <c r="B10" t="s">
        <v>11</v>
      </c>
      <c r="C10" s="2">
        <v>217000</v>
      </c>
      <c r="D10" s="2">
        <v>420000</v>
      </c>
      <c r="E10"/>
      <c r="F10" s="2">
        <v>0</v>
      </c>
      <c r="G10" s="2"/>
      <c r="H10" s="2">
        <f aca="true" t="shared" si="0" ref="H10:H29">(C10+D10)-(F10+G10)</f>
        <v>637000</v>
      </c>
      <c r="I10" s="2">
        <f>H10*(1+'Total Benefit Cost'!$D$6)^(A10-$A$8)</f>
        <v>688979.2000000001</v>
      </c>
    </row>
    <row r="11" spans="1:11" ht="15">
      <c r="A11">
        <v>2020</v>
      </c>
      <c r="B11" t="s">
        <v>177</v>
      </c>
      <c r="C11" s="2">
        <v>4092000</v>
      </c>
      <c r="D11" s="2">
        <f>30000*60</f>
        <v>1800000</v>
      </c>
      <c r="E11"/>
      <c r="F11" s="2">
        <v>0</v>
      </c>
      <c r="G11" s="2"/>
      <c r="H11" s="2">
        <f t="shared" si="0"/>
        <v>5892000</v>
      </c>
      <c r="I11" s="2">
        <f>H11*(1+'Total Benefit Cost'!$D$6)^(A11-$A$8)</f>
        <v>6627698.688</v>
      </c>
      <c r="K11" s="123" t="s">
        <v>145</v>
      </c>
    </row>
    <row r="12" spans="1:19" ht="15">
      <c r="A12">
        <v>2021</v>
      </c>
      <c r="B12" t="s">
        <v>11</v>
      </c>
      <c r="C12" s="2">
        <v>217000</v>
      </c>
      <c r="D12" s="2">
        <v>420000</v>
      </c>
      <c r="E12"/>
      <c r="F12" s="2">
        <v>0</v>
      </c>
      <c r="G12" s="2"/>
      <c r="H12" s="2">
        <f t="shared" si="0"/>
        <v>637000</v>
      </c>
      <c r="I12" s="2">
        <f>H12*(1+'Total Benefit Cost'!$D$6)^(A12-$A$8)</f>
        <v>745199.9027200001</v>
      </c>
      <c r="K12" s="142" t="s">
        <v>171</v>
      </c>
      <c r="L12" s="141"/>
      <c r="M12" s="141"/>
      <c r="N12" s="141"/>
      <c r="O12" s="141"/>
      <c r="P12" s="141"/>
      <c r="Q12" s="141"/>
      <c r="R12" s="141"/>
      <c r="S12" s="141"/>
    </row>
    <row r="13" spans="1:9" ht="15">
      <c r="A13">
        <v>2022</v>
      </c>
      <c r="B13" t="s">
        <v>178</v>
      </c>
      <c r="C13" s="2">
        <v>10000000</v>
      </c>
      <c r="D13" s="2">
        <v>25000000</v>
      </c>
      <c r="E13"/>
      <c r="F13" s="2">
        <v>0</v>
      </c>
      <c r="G13" s="120"/>
      <c r="H13" s="2">
        <f t="shared" si="0"/>
        <v>35000000</v>
      </c>
      <c r="I13" s="2">
        <f>H13*(1+'Total Benefit Cost'!$D$6)^(A13-$A$8)</f>
        <v>42582851.584000014</v>
      </c>
    </row>
    <row r="14" spans="1:9" ht="15">
      <c r="A14">
        <v>2023</v>
      </c>
      <c r="B14"/>
      <c r="C14" s="2">
        <v>15000000</v>
      </c>
      <c r="D14" s="2">
        <v>50000000</v>
      </c>
      <c r="E14"/>
      <c r="F14" s="2">
        <v>0</v>
      </c>
      <c r="G14" s="2"/>
      <c r="H14" s="2">
        <f t="shared" si="0"/>
        <v>65000000</v>
      </c>
      <c r="I14" s="2">
        <f>H14*(1+'Total Benefit Cost'!$D$6)^(A14-$A$8)</f>
        <v>82245736.20224002</v>
      </c>
    </row>
    <row r="15" spans="1:9" ht="15">
      <c r="A15">
        <v>2024</v>
      </c>
      <c r="B15"/>
      <c r="C15" s="2">
        <v>20000000</v>
      </c>
      <c r="D15" s="2">
        <v>50000000</v>
      </c>
      <c r="E15"/>
      <c r="F15" s="2">
        <v>0</v>
      </c>
      <c r="G15" s="2"/>
      <c r="H15" s="2">
        <f t="shared" si="0"/>
        <v>70000000</v>
      </c>
      <c r="I15" s="2">
        <f>H15*(1+'Total Benefit Cost'!$D$6)^(A15-$A$8)</f>
        <v>92115224.54650882</v>
      </c>
    </row>
    <row r="16" spans="1:9" ht="15">
      <c r="A16">
        <v>2025</v>
      </c>
      <c r="B16"/>
      <c r="C16" s="2">
        <v>0</v>
      </c>
      <c r="D16" s="2"/>
      <c r="E16"/>
      <c r="F16" s="2">
        <v>0</v>
      </c>
      <c r="G16" s="2"/>
      <c r="H16" s="2">
        <f t="shared" si="0"/>
        <v>0</v>
      </c>
      <c r="I16" s="2">
        <f>H16*(1+'Total Benefit Cost'!$D$6)^(A16-$A$8)</f>
        <v>0</v>
      </c>
    </row>
    <row r="17" spans="1:9" ht="15">
      <c r="A17">
        <v>2026</v>
      </c>
      <c r="B17"/>
      <c r="C17" s="2">
        <v>0</v>
      </c>
      <c r="D17" s="2"/>
      <c r="E17"/>
      <c r="F17" s="2">
        <v>0</v>
      </c>
      <c r="G17" s="2"/>
      <c r="H17" s="2">
        <f t="shared" si="0"/>
        <v>0</v>
      </c>
      <c r="I17" s="2">
        <f>H17*(1+'Total Benefit Cost'!$D$6)^(A17-$A$8)</f>
        <v>0</v>
      </c>
    </row>
    <row r="18" spans="1:9" ht="15">
      <c r="A18">
        <v>2027</v>
      </c>
      <c r="B18"/>
      <c r="C18" s="2">
        <v>0</v>
      </c>
      <c r="D18" s="2"/>
      <c r="E18"/>
      <c r="F18" s="2">
        <v>0</v>
      </c>
      <c r="G18" s="2"/>
      <c r="H18" s="2">
        <f t="shared" si="0"/>
        <v>0</v>
      </c>
      <c r="I18" s="2">
        <f>H18*(1+'Total Benefit Cost'!$D$6)^(A18-$A$8)</f>
        <v>0</v>
      </c>
    </row>
    <row r="19" spans="1:9" ht="15">
      <c r="A19">
        <v>2028</v>
      </c>
      <c r="B19"/>
      <c r="C19" s="2">
        <v>0</v>
      </c>
      <c r="D19" s="120"/>
      <c r="E19" s="2"/>
      <c r="F19" s="2"/>
      <c r="G19" s="2"/>
      <c r="H19" s="2">
        <f t="shared" si="0"/>
        <v>0</v>
      </c>
      <c r="I19" s="2">
        <f>H19*(1+'Total Benefit Cost'!$D$6)^(A19-$A$8)</f>
        <v>0</v>
      </c>
    </row>
    <row r="20" spans="1:9" ht="15">
      <c r="A20">
        <v>2029</v>
      </c>
      <c r="B20"/>
      <c r="C20" s="2">
        <v>0</v>
      </c>
      <c r="D20" s="2"/>
      <c r="E20" s="2" t="s">
        <v>177</v>
      </c>
      <c r="F20" s="2">
        <f>88000*4*11</f>
        <v>3872000</v>
      </c>
      <c r="G20" s="2">
        <v>4400000</v>
      </c>
      <c r="H20" s="2">
        <f t="shared" si="0"/>
        <v>-8272000</v>
      </c>
      <c r="I20" s="2">
        <f>H20*(1+'Total Benefit Cost'!$D$6)^(A20-$A$8)</f>
        <v>-13243738.511991864</v>
      </c>
    </row>
    <row r="21" spans="1:9" ht="15">
      <c r="A21">
        <v>2030</v>
      </c>
      <c r="B21"/>
      <c r="C21" s="2">
        <v>0</v>
      </c>
      <c r="D21" s="2"/>
      <c r="E21"/>
      <c r="F21" s="2">
        <v>0</v>
      </c>
      <c r="G21" s="2"/>
      <c r="H21" s="2">
        <f t="shared" si="0"/>
        <v>0</v>
      </c>
      <c r="I21" s="2">
        <f>H21*(1+'Total Benefit Cost'!$D$6)^(A21-$A$8)</f>
        <v>0</v>
      </c>
    </row>
    <row r="22" spans="1:9" ht="15">
      <c r="A22">
        <v>2031</v>
      </c>
      <c r="B22"/>
      <c r="C22" s="2"/>
      <c r="D22" s="2"/>
      <c r="E22"/>
      <c r="F22" s="2">
        <v>0</v>
      </c>
      <c r="G22" s="2"/>
      <c r="H22" s="2">
        <f t="shared" si="0"/>
        <v>0</v>
      </c>
      <c r="I22" s="2">
        <f>H22*(1+'Total Benefit Cost'!$D$6)^(A22-$A$8)</f>
        <v>0</v>
      </c>
    </row>
    <row r="23" spans="1:9" ht="15">
      <c r="A23">
        <v>2032</v>
      </c>
      <c r="B23"/>
      <c r="C23" s="2">
        <v>0</v>
      </c>
      <c r="D23" s="2"/>
      <c r="E23"/>
      <c r="F23" s="2">
        <v>0</v>
      </c>
      <c r="G23" s="2"/>
      <c r="H23" s="2">
        <f t="shared" si="0"/>
        <v>0</v>
      </c>
      <c r="I23" s="2">
        <f>H23*(1+'Total Benefit Cost'!$D$6)^(A23-$A$8)</f>
        <v>0</v>
      </c>
    </row>
    <row r="24" spans="1:9" ht="15">
      <c r="A24">
        <v>2033</v>
      </c>
      <c r="B24"/>
      <c r="C24" s="2">
        <v>0</v>
      </c>
      <c r="D24" s="2"/>
      <c r="E24" s="2"/>
      <c r="F24" s="2">
        <v>0</v>
      </c>
      <c r="G24" s="2"/>
      <c r="H24" s="2">
        <f t="shared" si="0"/>
        <v>0</v>
      </c>
      <c r="I24" s="2">
        <f>H24*(1+'Total Benefit Cost'!$D$6)^(A24-$A$8)</f>
        <v>0</v>
      </c>
    </row>
    <row r="25" spans="1:9" ht="15">
      <c r="A25">
        <v>2034</v>
      </c>
      <c r="B25" t="s">
        <v>177</v>
      </c>
      <c r="C25" s="2">
        <f>88000*4*11</f>
        <v>3872000</v>
      </c>
      <c r="D25" s="2">
        <v>430000</v>
      </c>
      <c r="E25"/>
      <c r="F25" s="2">
        <v>0</v>
      </c>
      <c r="G25" s="2"/>
      <c r="H25" s="2">
        <f t="shared" si="0"/>
        <v>4302000</v>
      </c>
      <c r="I25" s="2">
        <f>H25*(1+'Total Benefit Cost'!$D$6)^(A25-$A$8)</f>
        <v>8379867.931883123</v>
      </c>
    </row>
    <row r="26" spans="1:17" ht="15">
      <c r="A26">
        <v>2035</v>
      </c>
      <c r="B26"/>
      <c r="C26" s="2">
        <v>0</v>
      </c>
      <c r="D26" s="2"/>
      <c r="E26"/>
      <c r="F26" s="2">
        <v>0</v>
      </c>
      <c r="G26" s="2"/>
      <c r="H26" s="2">
        <f t="shared" si="0"/>
        <v>0</v>
      </c>
      <c r="I26" s="2">
        <f>H26*(1+'Total Benefit Cost'!$D$6)^(A26-$A$8)</f>
        <v>0</v>
      </c>
      <c r="P26" s="107"/>
      <c r="Q26" s="107"/>
    </row>
    <row r="27" spans="1:15" ht="15">
      <c r="A27">
        <v>2036</v>
      </c>
      <c r="B27"/>
      <c r="C27" s="2">
        <v>0</v>
      </c>
      <c r="D27" s="2"/>
      <c r="E27"/>
      <c r="F27" s="2">
        <v>0</v>
      </c>
      <c r="G27" s="2"/>
      <c r="H27" s="2">
        <f t="shared" si="0"/>
        <v>0</v>
      </c>
      <c r="I27" s="2">
        <f>H27*(1+'Total Benefit Cost'!$D$6)^(A27-$A$8)</f>
        <v>0</v>
      </c>
      <c r="O27" s="101"/>
    </row>
    <row r="28" spans="1:15" ht="15">
      <c r="A28">
        <v>2037</v>
      </c>
      <c r="B28"/>
      <c r="C28" s="2">
        <v>0</v>
      </c>
      <c r="D28" s="2"/>
      <c r="E28"/>
      <c r="F28" s="2">
        <v>0</v>
      </c>
      <c r="G28" s="2"/>
      <c r="H28" s="2">
        <f t="shared" si="0"/>
        <v>0</v>
      </c>
      <c r="I28" s="2">
        <f>H28*(1+'Total Benefit Cost'!$D$6)^(A28-$A$8)</f>
        <v>0</v>
      </c>
      <c r="O28" s="101"/>
    </row>
    <row r="29" spans="1:15" ht="15.75" thickBot="1">
      <c r="A29" s="144">
        <v>3038</v>
      </c>
      <c r="B29" s="144"/>
      <c r="C29" s="145">
        <v>0</v>
      </c>
      <c r="D29" s="145"/>
      <c r="E29" s="144"/>
      <c r="F29" s="145">
        <v>0</v>
      </c>
      <c r="G29" s="145"/>
      <c r="H29" s="145">
        <f t="shared" si="0"/>
        <v>0</v>
      </c>
      <c r="I29" s="145">
        <f>H29*(1+'Total Benefit Cost'!$D$6)^(A29-$A$8)</f>
        <v>0</v>
      </c>
      <c r="O29" s="101"/>
    </row>
    <row r="30" spans="1:18" ht="15.75" thickTop="1">
      <c r="A30" s="4"/>
      <c r="B30"/>
      <c r="C30" s="2">
        <f>SUM(C5:C29)</f>
        <v>62450000</v>
      </c>
      <c r="D30" s="2">
        <f>SUM(D5:D29)</f>
        <v>132750000</v>
      </c>
      <c r="E30"/>
      <c r="F30" s="2">
        <f>SUM(F5:F29)</f>
        <v>49306000</v>
      </c>
      <c r="G30" s="2">
        <f>SUM(G5:G29)</f>
        <v>57240000</v>
      </c>
      <c r="H30" s="2">
        <f>SUM(H5:H29)</f>
        <v>88654000</v>
      </c>
      <c r="I30" s="2">
        <f>SUM(I5:I29)</f>
        <v>134207453.38951397</v>
      </c>
      <c r="O30" s="101"/>
      <c r="R30" s="101"/>
    </row>
    <row r="31" spans="1:18" ht="15">
      <c r="A31" s="4"/>
      <c r="B31"/>
      <c r="C31" s="2"/>
      <c r="D31" s="2"/>
      <c r="E31"/>
      <c r="F31" s="2"/>
      <c r="G31" s="2"/>
      <c r="H31"/>
      <c r="I31"/>
      <c r="O31" s="101"/>
      <c r="R31" s="101"/>
    </row>
    <row r="32" spans="1:18" ht="15">
      <c r="A32" t="s">
        <v>111</v>
      </c>
      <c r="B32" s="85"/>
      <c r="C32" s="85"/>
      <c r="D32" s="85"/>
      <c r="E32" s="85"/>
      <c r="F32" s="85"/>
      <c r="G32" s="85"/>
      <c r="H32" s="85"/>
      <c r="I32"/>
      <c r="O32" s="101"/>
      <c r="R32" s="101"/>
    </row>
    <row r="33" spans="1:18" ht="15">
      <c r="A33" s="86" t="s">
        <v>110</v>
      </c>
      <c r="B33" s="85"/>
      <c r="C33" s="85"/>
      <c r="D33" s="85"/>
      <c r="E33" s="85"/>
      <c r="F33" s="85"/>
      <c r="G33" s="85"/>
      <c r="H33" s="85"/>
      <c r="I33"/>
      <c r="O33" s="101"/>
      <c r="R33" s="101"/>
    </row>
    <row r="34" spans="3:18" ht="12.75">
      <c r="C34" s="17" t="s">
        <v>24</v>
      </c>
      <c r="H34" s="17" t="s">
        <v>24</v>
      </c>
      <c r="O34" s="101"/>
      <c r="Q34" s="102"/>
      <c r="R34" s="101"/>
    </row>
    <row r="35" spans="3:18" ht="12.75">
      <c r="C35" s="17"/>
      <c r="H35" s="17"/>
      <c r="O35" s="101"/>
      <c r="Q35" s="103"/>
      <c r="R35" s="101"/>
    </row>
    <row r="36" spans="3:17" ht="12.75">
      <c r="C36" s="17" t="s">
        <v>23</v>
      </c>
      <c r="D36" s="18">
        <f>D23*(D30+D33)/60</f>
        <v>0</v>
      </c>
      <c r="H36" s="17" t="s">
        <v>23</v>
      </c>
      <c r="I36" s="18">
        <f>I23*(I30+I33)/60</f>
        <v>0</v>
      </c>
      <c r="O36" s="101"/>
      <c r="Q36" s="16"/>
    </row>
    <row r="37" spans="3:17" ht="12.75">
      <c r="C37" s="17" t="s">
        <v>22</v>
      </c>
      <c r="H37" s="17" t="s">
        <v>22</v>
      </c>
      <c r="M37" s="140" t="s">
        <v>169</v>
      </c>
      <c r="N37" s="6">
        <v>35.5</v>
      </c>
      <c r="O37" s="101"/>
      <c r="Q37" s="104"/>
    </row>
    <row r="38" spans="13:17" ht="12.75">
      <c r="M38" s="140" t="s">
        <v>170</v>
      </c>
      <c r="N38" s="6">
        <v>46.5</v>
      </c>
      <c r="O38" s="101"/>
      <c r="Q38" s="105"/>
    </row>
    <row r="39" spans="3:17" ht="12.75">
      <c r="C39" s="17" t="s">
        <v>21</v>
      </c>
      <c r="D39" s="18">
        <f>D36/H7</f>
        <v>0</v>
      </c>
      <c r="H39" s="17" t="s">
        <v>21</v>
      </c>
      <c r="I39" s="18">
        <f>I36/H7</f>
        <v>0</v>
      </c>
      <c r="O39" s="101"/>
      <c r="Q39" s="103"/>
    </row>
    <row r="40" spans="3:17" ht="12.75">
      <c r="C40" s="17" t="s">
        <v>20</v>
      </c>
      <c r="H40" s="17" t="s">
        <v>20</v>
      </c>
      <c r="Q40" s="106"/>
    </row>
    <row r="41" ht="12.75">
      <c r="S41" s="101"/>
    </row>
    <row r="43" ht="12.75">
      <c r="L43" s="123" t="s">
        <v>139</v>
      </c>
    </row>
    <row r="45" ht="12.75">
      <c r="B45" s="16"/>
    </row>
    <row r="46" spans="9:12" ht="12.75">
      <c r="I46" s="15"/>
      <c r="K46" s="15"/>
      <c r="L46" s="107"/>
    </row>
    <row r="47" spans="9:21" ht="12.75">
      <c r="I47" s="15"/>
      <c r="J47" s="123" t="s">
        <v>140</v>
      </c>
      <c r="K47" s="108" t="s">
        <v>129</v>
      </c>
      <c r="L47" s="107" t="s">
        <v>127</v>
      </c>
      <c r="M47" s="107" t="s">
        <v>128</v>
      </c>
      <c r="N47" s="107" t="s">
        <v>18</v>
      </c>
      <c r="O47" s="107" t="s">
        <v>25</v>
      </c>
      <c r="Q47" s="107" t="s">
        <v>130</v>
      </c>
      <c r="R47" s="107" t="s">
        <v>131</v>
      </c>
      <c r="T47" s="107" t="s">
        <v>134</v>
      </c>
      <c r="U47" s="107"/>
    </row>
    <row r="48" spans="10:20" ht="12.75">
      <c r="J48" s="139" t="s">
        <v>168</v>
      </c>
      <c r="K48" s="6">
        <v>530</v>
      </c>
      <c r="L48" s="6">
        <v>35.4</v>
      </c>
      <c r="M48" s="6">
        <v>46.53</v>
      </c>
      <c r="N48" s="6">
        <v>9700</v>
      </c>
      <c r="O48" s="16">
        <v>0.27</v>
      </c>
      <c r="Q48" s="6">
        <f>M48-L48</f>
        <v>11.130000000000003</v>
      </c>
      <c r="R48" s="6">
        <f>N48*Q48</f>
        <v>107961.00000000003</v>
      </c>
      <c r="T48" s="112">
        <f>N48*O48</f>
        <v>2619</v>
      </c>
    </row>
    <row r="49" spans="11:20" ht="12.75">
      <c r="K49" s="15"/>
      <c r="L49" s="6">
        <v>0.23</v>
      </c>
      <c r="M49" s="109">
        <v>2.13</v>
      </c>
      <c r="N49" s="6">
        <v>5800</v>
      </c>
      <c r="O49" s="16"/>
      <c r="Q49" s="6">
        <f>M49-L49</f>
        <v>1.9</v>
      </c>
      <c r="R49" s="6">
        <f>N49*Q49</f>
        <v>11020</v>
      </c>
      <c r="T49" s="112">
        <f>N49*O48</f>
        <v>1566</v>
      </c>
    </row>
    <row r="50" spans="12:20" ht="12.75">
      <c r="L50" s="6">
        <v>2.16</v>
      </c>
      <c r="M50" s="110">
        <v>4.2</v>
      </c>
      <c r="N50" s="6">
        <v>4000</v>
      </c>
      <c r="O50" s="16"/>
      <c r="Q50" s="6">
        <f>M50-L50</f>
        <v>2.04</v>
      </c>
      <c r="R50" s="6">
        <f>N50*Q50</f>
        <v>8160</v>
      </c>
      <c r="T50" s="112">
        <f>N50*O48</f>
        <v>1080</v>
      </c>
    </row>
    <row r="52" spans="10:20" ht="12.75">
      <c r="J52" s="123" t="s">
        <v>141</v>
      </c>
      <c r="K52" s="6">
        <v>167</v>
      </c>
      <c r="L52" s="6">
        <v>0</v>
      </c>
      <c r="M52" s="6">
        <v>1.82</v>
      </c>
      <c r="N52" s="6">
        <v>5100</v>
      </c>
      <c r="O52" s="16">
        <v>0.18</v>
      </c>
      <c r="Q52" s="6">
        <f>M52-L52</f>
        <v>1.82</v>
      </c>
      <c r="R52" s="6">
        <f>N52*Q52</f>
        <v>9282</v>
      </c>
      <c r="T52" s="113">
        <f>$O$52*R52</f>
        <v>1670.76</v>
      </c>
    </row>
    <row r="53" spans="12:20" ht="12.75">
      <c r="L53" s="6">
        <v>1.82</v>
      </c>
      <c r="M53" s="6">
        <v>5.2</v>
      </c>
      <c r="N53" s="6">
        <v>4700</v>
      </c>
      <c r="O53" s="16"/>
      <c r="Q53" s="6">
        <f>M53-L53</f>
        <v>3.38</v>
      </c>
      <c r="R53" s="6">
        <f>N53*Q53</f>
        <v>15886</v>
      </c>
      <c r="T53" s="113">
        <f>$O$52*R53</f>
        <v>2859.48</v>
      </c>
    </row>
    <row r="54" spans="12:20" ht="12.75">
      <c r="L54" s="6">
        <v>5.2</v>
      </c>
      <c r="M54" s="6">
        <v>7.78</v>
      </c>
      <c r="N54" s="6">
        <v>4600</v>
      </c>
      <c r="O54" s="16"/>
      <c r="Q54" s="6">
        <f>M54-L54</f>
        <v>2.58</v>
      </c>
      <c r="R54" s="6">
        <f>N54*Q54</f>
        <v>11868</v>
      </c>
      <c r="T54" s="113">
        <f>$O$52*R54</f>
        <v>2136.24</v>
      </c>
    </row>
    <row r="55" spans="12:20" ht="12.75">
      <c r="L55" s="6">
        <v>7.78</v>
      </c>
      <c r="M55" s="110">
        <v>8.91</v>
      </c>
      <c r="N55" s="6">
        <v>3800</v>
      </c>
      <c r="Q55" s="6">
        <f>M55-L55</f>
        <v>1.13</v>
      </c>
      <c r="R55" s="6">
        <f>N55*Q55</f>
        <v>4294</v>
      </c>
      <c r="T55" s="113">
        <f>$O$52*R55</f>
        <v>772.92</v>
      </c>
    </row>
    <row r="57" spans="10:20" ht="12.75">
      <c r="J57" s="123" t="s">
        <v>142</v>
      </c>
      <c r="K57" s="6">
        <v>65</v>
      </c>
      <c r="L57" s="6">
        <v>11.78</v>
      </c>
      <c r="M57" s="110">
        <v>16.22</v>
      </c>
      <c r="N57" s="6">
        <v>9900</v>
      </c>
      <c r="O57" s="16">
        <v>0.17</v>
      </c>
      <c r="Q57" s="6">
        <f>M57-L57</f>
        <v>4.4399999999999995</v>
      </c>
      <c r="R57" s="6">
        <f>N57*Q57</f>
        <v>43955.99999999999</v>
      </c>
      <c r="T57" s="6">
        <f>N57*O57</f>
        <v>1683.0000000000002</v>
      </c>
    </row>
    <row r="58" ht="12.75">
      <c r="V58" s="107"/>
    </row>
    <row r="59" spans="16:22" ht="12.75">
      <c r="P59" s="114" t="s">
        <v>133</v>
      </c>
      <c r="Q59" s="115">
        <f>SUM(Q48:Q58)</f>
        <v>28.42</v>
      </c>
      <c r="R59" s="115">
        <f>SUM(R48:R58)</f>
        <v>212427.00000000003</v>
      </c>
      <c r="S59" s="115"/>
      <c r="T59" s="117">
        <f>SUM(T48:T58)</f>
        <v>14387.4</v>
      </c>
      <c r="U59" s="115"/>
      <c r="V59" s="116"/>
    </row>
    <row r="60" ht="12.75">
      <c r="L60" s="124" t="s">
        <v>138</v>
      </c>
    </row>
    <row r="61" spans="18:20" ht="12.75">
      <c r="R61" s="6">
        <f>R59/Q59</f>
        <v>7474.560168895145</v>
      </c>
      <c r="T61" s="6">
        <f>T59/Q59</f>
        <v>506.24208304011256</v>
      </c>
    </row>
    <row r="63" spans="17:19" ht="12.75">
      <c r="Q63" s="107" t="s">
        <v>132</v>
      </c>
      <c r="R63" s="6">
        <v>6100</v>
      </c>
      <c r="S63" s="107" t="s">
        <v>135</v>
      </c>
    </row>
    <row r="64" spans="18:20" ht="12.75">
      <c r="R64" s="6">
        <v>800</v>
      </c>
      <c r="S64" s="107" t="s">
        <v>136</v>
      </c>
      <c r="T64" s="111">
        <f>R64/R63</f>
        <v>0.13114754098360656</v>
      </c>
    </row>
    <row r="65" spans="13:20" ht="12.75">
      <c r="M65" s="6">
        <f>17.52/2</f>
        <v>8.76</v>
      </c>
      <c r="R65" s="6">
        <f>R63-R64</f>
        <v>5300</v>
      </c>
      <c r="S65" s="107" t="s">
        <v>137</v>
      </c>
      <c r="T65" s="111">
        <f>R65/R63</f>
        <v>0.8688524590163934</v>
      </c>
    </row>
    <row r="68" spans="20:21" ht="12.75">
      <c r="T68" s="124"/>
      <c r="U68" s="94"/>
    </row>
  </sheetData>
  <sheetProtection/>
  <mergeCells count="3">
    <mergeCell ref="A1:I1"/>
    <mergeCell ref="A3:D3"/>
    <mergeCell ref="E3:G3"/>
  </mergeCells>
  <printOptions/>
  <pageMargins left="0.54" right="0.56" top="0.75" bottom="0.75" header="0.3" footer="0.3"/>
  <pageSetup fitToHeight="1" fitToWidth="1" horizontalDpi="600" verticalDpi="600" orientation="portrait" scale="35" r:id="rId1"/>
  <headerFooter>
    <oddHeader>&amp;C&amp;"Arial,Bold"ATTACHMENT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1" sqref="A1:G21"/>
    </sheetView>
  </sheetViews>
  <sheetFormatPr defaultColWidth="9.140625" defaultRowHeight="15"/>
  <cols>
    <col min="1" max="1" width="9.140625" style="6" customWidth="1"/>
    <col min="2" max="3" width="14.140625" style="6" bestFit="1" customWidth="1"/>
    <col min="4" max="4" width="14.00390625" style="16" customWidth="1"/>
    <col min="5" max="5" width="14.00390625" style="9" customWidth="1"/>
    <col min="6" max="6" width="13.140625" style="8" bestFit="1" customWidth="1"/>
    <col min="7" max="7" width="12.28125" style="8" customWidth="1"/>
    <col min="8" max="8" width="9.140625" style="6" customWidth="1"/>
    <col min="9" max="9" width="10.57421875" style="6" customWidth="1"/>
    <col min="10" max="10" width="13.8515625" style="7" bestFit="1" customWidth="1"/>
    <col min="11" max="16384" width="9.140625" style="6" customWidth="1"/>
  </cols>
  <sheetData>
    <row r="1" spans="1:7" ht="18">
      <c r="A1" s="189" t="s">
        <v>70</v>
      </c>
      <c r="B1" s="189"/>
      <c r="C1" s="189"/>
      <c r="D1" s="189"/>
      <c r="E1" s="189"/>
      <c r="F1" s="189"/>
      <c r="G1" s="189"/>
    </row>
    <row r="2" spans="2:10" ht="12.75">
      <c r="B2" s="193"/>
      <c r="C2" s="193"/>
      <c r="F2" s="6"/>
      <c r="G2" s="6"/>
      <c r="J2" s="6"/>
    </row>
    <row r="3" spans="1:7" s="11" customFormat="1" ht="12.75" customHeight="1">
      <c r="A3" s="14" t="s">
        <v>0</v>
      </c>
      <c r="B3" s="195" t="s">
        <v>45</v>
      </c>
      <c r="C3" s="195"/>
      <c r="D3" s="194" t="s">
        <v>49</v>
      </c>
      <c r="E3" s="194" t="s">
        <v>48</v>
      </c>
      <c r="F3" s="190" t="s">
        <v>186</v>
      </c>
      <c r="G3" s="192" t="s">
        <v>113</v>
      </c>
    </row>
    <row r="4" spans="2:10" ht="12.75">
      <c r="B4" s="12" t="s">
        <v>43</v>
      </c>
      <c r="C4" s="12" t="s">
        <v>46</v>
      </c>
      <c r="D4" s="194"/>
      <c r="E4" s="194"/>
      <c r="F4" s="191"/>
      <c r="G4" s="192"/>
      <c r="J4" s="6"/>
    </row>
    <row r="5" spans="2:10" ht="12.75">
      <c r="B5" s="12"/>
      <c r="C5" s="12"/>
      <c r="D5" s="169"/>
      <c r="E5" s="169"/>
      <c r="F5" s="168"/>
      <c r="G5" s="167"/>
      <c r="J5" s="6"/>
    </row>
    <row r="6" spans="2:10" ht="12.75">
      <c r="B6" s="12"/>
      <c r="C6" s="12"/>
      <c r="D6" s="169"/>
      <c r="E6" s="169"/>
      <c r="F6" s="168"/>
      <c r="G6" s="167"/>
      <c r="J6" s="6"/>
    </row>
    <row r="7" spans="1:10" ht="15">
      <c r="A7" s="6">
        <v>2014</v>
      </c>
      <c r="B7" s="93">
        <f>' ATT 2 - VMT Calculations'!M9</f>
        <v>159695895</v>
      </c>
      <c r="C7" s="93">
        <f>' ATT 2 - VMT Calculations'!N9</f>
        <v>23862605</v>
      </c>
      <c r="D7" s="10">
        <v>0.0068</v>
      </c>
      <c r="E7" s="10">
        <v>0.0618</v>
      </c>
      <c r="F7" s="7">
        <f aca="true" t="shared" si="0" ref="F7:F27">B7*D7+C7*E7</f>
        <v>2560641.075</v>
      </c>
      <c r="G7" s="2">
        <f>F7*(1+'Total Benefit Cost'!$D$5)^(A7-$A$7)</f>
        <v>2560641.075</v>
      </c>
      <c r="J7" s="6"/>
    </row>
    <row r="8" spans="1:10" ht="15">
      <c r="A8" s="6">
        <v>2015</v>
      </c>
      <c r="B8" s="93">
        <f>' ATT 2 - VMT Calculations'!M10</f>
        <v>162680865</v>
      </c>
      <c r="C8" s="93">
        <f>' ATT 2 - VMT Calculations'!N10</f>
        <v>24308635</v>
      </c>
      <c r="D8" s="10">
        <v>0.0068</v>
      </c>
      <c r="E8" s="10">
        <v>0.0618</v>
      </c>
      <c r="F8" s="7">
        <f t="shared" si="0"/>
        <v>2608503.525</v>
      </c>
      <c r="G8" s="2">
        <f>F8*(1+'Total Benefit Cost'!$D$5)^(A8-$A$7)</f>
        <v>2686758.63075</v>
      </c>
      <c r="J8" s="6"/>
    </row>
    <row r="9" spans="1:10" ht="15">
      <c r="A9" s="6">
        <v>2016</v>
      </c>
      <c r="B9" s="93">
        <f>' ATT 2 - VMT Calculations'!M11</f>
        <v>166119714</v>
      </c>
      <c r="C9" s="93">
        <f>' ATT 2 - VMT Calculations'!N11</f>
        <v>24822486</v>
      </c>
      <c r="D9" s="10">
        <v>0.0068</v>
      </c>
      <c r="E9" s="10">
        <v>0.0618</v>
      </c>
      <c r="F9" s="7">
        <f t="shared" si="0"/>
        <v>2663643.69</v>
      </c>
      <c r="G9" s="2">
        <f>F9*(1+'Total Benefit Cost'!$D$5)^(A9-$A$7)</f>
        <v>2825859.590721</v>
      </c>
      <c r="J9" s="6"/>
    </row>
    <row r="10" spans="1:10" ht="15">
      <c r="A10" s="6">
        <v>2017</v>
      </c>
      <c r="B10" s="93">
        <f>' ATT 2 - VMT Calculations'!M12</f>
        <v>169397047.5</v>
      </c>
      <c r="C10" s="93">
        <f>' ATT 2 - VMT Calculations'!N12</f>
        <v>25312202.5</v>
      </c>
      <c r="D10" s="10">
        <v>0.0068</v>
      </c>
      <c r="E10" s="10">
        <v>0.0618</v>
      </c>
      <c r="F10" s="7">
        <f t="shared" si="0"/>
        <v>2716194.0374999996</v>
      </c>
      <c r="G10" s="2">
        <f>F10*(1+'Total Benefit Cost'!$D$5)^(A10-$A$7)</f>
        <v>2968058.562015262</v>
      </c>
      <c r="J10" s="6"/>
    </row>
    <row r="11" spans="1:10" ht="15">
      <c r="A11" s="6">
        <v>2018</v>
      </c>
      <c r="B11" s="93">
        <f>' ATT 2 - VMT Calculations'!M13</f>
        <v>172382017.5</v>
      </c>
      <c r="C11" s="93">
        <f>' ATT 2 - VMT Calculations'!N13</f>
        <v>25758232.5</v>
      </c>
      <c r="D11" s="10">
        <v>0.0068</v>
      </c>
      <c r="E11" s="10">
        <v>0.0618</v>
      </c>
      <c r="F11" s="7">
        <f t="shared" si="0"/>
        <v>2764056.4875</v>
      </c>
      <c r="G11" s="2">
        <f>F11*(1+'Total Benefit Cost'!$D$5)^(A11-$A$7)</f>
        <v>3110969.9280189043</v>
      </c>
      <c r="J11" s="6"/>
    </row>
    <row r="12" spans="1:10" ht="15">
      <c r="A12" s="6">
        <v>2019</v>
      </c>
      <c r="B12" s="93">
        <f>' ATT 2 - VMT Calculations'!M14</f>
        <v>175366987.5</v>
      </c>
      <c r="C12" s="93">
        <f>' ATT 2 - VMT Calculations'!N14</f>
        <v>26204262.5</v>
      </c>
      <c r="D12" s="10">
        <v>0.0068</v>
      </c>
      <c r="E12" s="10">
        <v>0.0618</v>
      </c>
      <c r="F12" s="7">
        <f t="shared" si="0"/>
        <v>2811918.9375</v>
      </c>
      <c r="G12" s="2">
        <f>F12*(1+'Total Benefit Cost'!$D$5)^(A12-$A$7)</f>
        <v>3259784.723276952</v>
      </c>
      <c r="J12" s="6"/>
    </row>
    <row r="13" spans="1:10" ht="15">
      <c r="A13" s="6">
        <v>2020</v>
      </c>
      <c r="B13" s="93">
        <f>' ATT 2 - VMT Calculations'!M15</f>
        <v>178840593</v>
      </c>
      <c r="C13" s="93">
        <f>' ATT 2 - VMT Calculations'!N15</f>
        <v>26723307</v>
      </c>
      <c r="D13" s="10">
        <v>0.0068</v>
      </c>
      <c r="E13" s="10">
        <v>0.0618</v>
      </c>
      <c r="F13" s="7">
        <f t="shared" si="0"/>
        <v>2867616.4050000003</v>
      </c>
      <c r="G13" s="2">
        <f>F13*(1+'Total Benefit Cost'!$D$5)^(A13-$A$7)</f>
        <v>3424083.9539544852</v>
      </c>
      <c r="J13" s="6"/>
    </row>
    <row r="14" spans="1:10" ht="15">
      <c r="A14" s="6">
        <v>2021</v>
      </c>
      <c r="B14" s="93">
        <f>' ATT 2 - VMT Calculations'!M16</f>
        <v>181336927.5</v>
      </c>
      <c r="C14" s="93">
        <f>' ATT 2 - VMT Calculations'!N16</f>
        <v>27096322.5</v>
      </c>
      <c r="D14" s="10">
        <v>0.0068</v>
      </c>
      <c r="E14" s="10">
        <v>0.0618</v>
      </c>
      <c r="F14" s="7">
        <f t="shared" si="0"/>
        <v>2907643.8375</v>
      </c>
      <c r="G14" s="2">
        <f>F14*(1+'Total Benefit Cost'!$D$5)^(A14-$A$7)</f>
        <v>3576035.1657049274</v>
      </c>
      <c r="J14" s="6"/>
    </row>
    <row r="15" spans="1:10" ht="15">
      <c r="A15" s="6">
        <v>2022</v>
      </c>
      <c r="B15" s="93">
        <f>' ATT 2 - VMT Calculations'!M17</f>
        <v>184321897.5</v>
      </c>
      <c r="C15" s="93">
        <f>' ATT 2 - VMT Calculations'!N17</f>
        <v>27542352.5</v>
      </c>
      <c r="D15" s="10">
        <v>0.0068</v>
      </c>
      <c r="E15" s="10">
        <v>0.0618</v>
      </c>
      <c r="F15" s="7">
        <f t="shared" si="0"/>
        <v>2955506.2874999996</v>
      </c>
      <c r="G15" s="2">
        <f>F15*(1+'Total Benefit Cost'!$D$5)^(A15-$A$7)</f>
        <v>3743946.940357985</v>
      </c>
      <c r="J15" s="6"/>
    </row>
    <row r="16" spans="1:10" ht="15">
      <c r="A16" s="6">
        <v>2023</v>
      </c>
      <c r="B16" s="93">
        <f>' ATT 2 - VMT Calculations'!M18</f>
        <v>187306867.5</v>
      </c>
      <c r="C16" s="93">
        <f>' ATT 2 - VMT Calculations'!N18</f>
        <v>27988382.5</v>
      </c>
      <c r="D16" s="10">
        <v>0.0068</v>
      </c>
      <c r="E16" s="10">
        <v>0.0618</v>
      </c>
      <c r="F16" s="7">
        <f t="shared" si="0"/>
        <v>3003368.7375</v>
      </c>
      <c r="G16" s="2">
        <f>F16*(1+'Total Benefit Cost'!$D$5)^(A16-$A$7)</f>
        <v>3918714.9898410933</v>
      </c>
      <c r="J16" s="6"/>
    </row>
    <row r="17" spans="1:10" ht="15">
      <c r="A17" s="6">
        <v>2024</v>
      </c>
      <c r="B17" s="93">
        <f>' ATT 2 - VMT Calculations'!M19</f>
        <v>190064898</v>
      </c>
      <c r="C17" s="93">
        <f>' ATT 2 - VMT Calculations'!N19</f>
        <v>28400502</v>
      </c>
      <c r="D17" s="10">
        <v>0.0068</v>
      </c>
      <c r="E17" s="10">
        <v>0.0618</v>
      </c>
      <c r="F17" s="7">
        <f t="shared" si="0"/>
        <v>3047592.33</v>
      </c>
      <c r="G17" s="2">
        <f>F17*(1+'Total Benefit Cost'!$D$5)^(A17-$A$7)</f>
        <v>4095709.249850516</v>
      </c>
      <c r="J17" s="6"/>
    </row>
    <row r="18" spans="1:10" ht="15">
      <c r="A18" s="6">
        <v>2025</v>
      </c>
      <c r="B18" s="93">
        <f>' ATT 2 - VMT Calculations'!M20</f>
        <v>192530565</v>
      </c>
      <c r="C18" s="93">
        <f>' ATT 2 - VMT Calculations'!N20</f>
        <v>28768935</v>
      </c>
      <c r="D18" s="10">
        <v>0.0068</v>
      </c>
      <c r="E18" s="10">
        <v>0.0618</v>
      </c>
      <c r="F18" s="7">
        <f t="shared" si="0"/>
        <v>3087128.025</v>
      </c>
      <c r="G18" s="2">
        <f>F18*(1+'Total Benefit Cost'!$D$5)^(A18-$A$7)</f>
        <v>4273307.1754676625</v>
      </c>
      <c r="J18" s="6"/>
    </row>
    <row r="19" spans="1:10" ht="15">
      <c r="A19" s="6">
        <v>2026</v>
      </c>
      <c r="B19" s="93">
        <f>' ATT 2 - VMT Calculations'!M21</f>
        <v>195515535</v>
      </c>
      <c r="C19" s="93">
        <f>' ATT 2 - VMT Calculations'!N21</f>
        <v>29214965</v>
      </c>
      <c r="D19" s="10">
        <v>0.0068</v>
      </c>
      <c r="E19" s="10">
        <v>0.0618</v>
      </c>
      <c r="F19" s="7">
        <f t="shared" si="0"/>
        <v>3134990.475</v>
      </c>
      <c r="G19" s="2">
        <f>F19*(1+'Total Benefit Cost'!$D$5)^(A19-$A$7)</f>
        <v>4469746.799890323</v>
      </c>
      <c r="J19" s="6"/>
    </row>
    <row r="20" spans="1:10" ht="15">
      <c r="A20" s="6">
        <v>2027</v>
      </c>
      <c r="B20" s="93">
        <f>' ATT 2 - VMT Calculations'!M22</f>
        <v>198500505</v>
      </c>
      <c r="C20" s="93">
        <f>' ATT 2 - VMT Calculations'!N22</f>
        <v>29660995</v>
      </c>
      <c r="D20" s="10">
        <v>0.0068</v>
      </c>
      <c r="E20" s="10">
        <v>0.0618</v>
      </c>
      <c r="F20" s="7">
        <f t="shared" si="0"/>
        <v>3182852.925</v>
      </c>
      <c r="G20" s="2">
        <f>F20*(1+'Total Benefit Cost'!$D$5)^(A20-$A$7)</f>
        <v>4674126.825320422</v>
      </c>
      <c r="J20" s="6"/>
    </row>
    <row r="21" spans="1:10" ht="15">
      <c r="A21" s="6">
        <v>2028</v>
      </c>
      <c r="B21" s="93">
        <f>' ATT 2 - VMT Calculations'!M23</f>
        <v>202037490</v>
      </c>
      <c r="C21" s="93">
        <f>' ATT 2 - VMT Calculations'!N23</f>
        <v>30189510</v>
      </c>
      <c r="D21" s="10">
        <v>0.0068</v>
      </c>
      <c r="E21" s="10">
        <v>0.0618</v>
      </c>
      <c r="F21" s="7">
        <f t="shared" si="0"/>
        <v>3239566.6500000004</v>
      </c>
      <c r="G21" s="2">
        <f>F21*(1+'Total Benefit Cost'!$D$5)^(A21-$A$7)</f>
        <v>4900135.227773294</v>
      </c>
      <c r="J21" s="6"/>
    </row>
    <row r="22" spans="1:10" ht="15">
      <c r="A22" s="6">
        <v>2029</v>
      </c>
      <c r="B22" s="93">
        <f>' ATT 2 - VMT Calculations'!M24</f>
        <v>204470445</v>
      </c>
      <c r="C22" s="93">
        <f>' ATT 2 - VMT Calculations'!N24</f>
        <v>30553055</v>
      </c>
      <c r="D22" s="10">
        <v>0.0068</v>
      </c>
      <c r="E22" s="10">
        <v>0.0618</v>
      </c>
      <c r="F22" s="7">
        <f t="shared" si="0"/>
        <v>3278577.825</v>
      </c>
      <c r="G22" s="2">
        <f>F22*(1+'Total Benefit Cost'!$D$5)^(A22-$A$7)</f>
        <v>5107917.424139803</v>
      </c>
      <c r="J22" s="6"/>
    </row>
    <row r="23" spans="1:10" ht="15">
      <c r="A23" s="6">
        <v>2030</v>
      </c>
      <c r="B23" s="93">
        <f>' ATT 2 - VMT Calculations'!M25</f>
        <v>206709172.5</v>
      </c>
      <c r="C23" s="93">
        <f>' ATT 2 - VMT Calculations'!N25</f>
        <v>30887577.5</v>
      </c>
      <c r="D23" s="10">
        <v>0.0068</v>
      </c>
      <c r="E23" s="10">
        <v>0.0618</v>
      </c>
      <c r="F23" s="7">
        <f t="shared" si="0"/>
        <v>3314474.6624999996</v>
      </c>
      <c r="G23" s="2">
        <f>F23*(1+'Total Benefit Cost'!$D$5)^(A23-$A$7)</f>
        <v>5318758.833143529</v>
      </c>
      <c r="J23" s="6"/>
    </row>
    <row r="24" spans="1:10" ht="15">
      <c r="A24" s="6">
        <v>2031</v>
      </c>
      <c r="B24" s="93">
        <f>' ATT 2 - VMT Calculations'!M26</f>
        <v>209694142.5</v>
      </c>
      <c r="C24" s="93">
        <f>' ATT 2 - VMT Calculations'!N26</f>
        <v>31333607.5</v>
      </c>
      <c r="D24" s="10">
        <v>0.0068</v>
      </c>
      <c r="E24" s="10">
        <v>0.0618</v>
      </c>
      <c r="F24" s="7">
        <f t="shared" si="0"/>
        <v>3362337.1125</v>
      </c>
      <c r="G24" s="2">
        <f>F24*(1+'Total Benefit Cost'!$D$5)^(A24-$A$7)</f>
        <v>5557430.935295059</v>
      </c>
      <c r="J24" s="6"/>
    </row>
    <row r="25" spans="1:10" ht="15">
      <c r="A25" s="6">
        <v>2032</v>
      </c>
      <c r="B25" s="93">
        <f>' ATT 2 - VMT Calculations'!M27</f>
        <v>212513508</v>
      </c>
      <c r="C25" s="93">
        <f>' ATT 2 - VMT Calculations'!N27</f>
        <v>31754892</v>
      </c>
      <c r="D25" s="10">
        <v>0.0068</v>
      </c>
      <c r="E25" s="10">
        <v>0.0618</v>
      </c>
      <c r="F25" s="7">
        <f t="shared" si="0"/>
        <v>3407544.1799999997</v>
      </c>
      <c r="G25" s="2">
        <f>F25*(1+'Total Benefit Cost'!$D$5)^(A25-$A$7)</f>
        <v>5801115.869667616</v>
      </c>
      <c r="J25" s="6"/>
    </row>
    <row r="26" spans="1:10" ht="15">
      <c r="A26" s="6">
        <v>2033</v>
      </c>
      <c r="B26" s="93">
        <f>' ATT 2 - VMT Calculations'!M28</f>
        <v>214917840</v>
      </c>
      <c r="C26" s="93">
        <f>' ATT 2 - VMT Calculations'!N28</f>
        <v>32114160</v>
      </c>
      <c r="D26" s="10">
        <v>0.0068</v>
      </c>
      <c r="E26" s="10">
        <v>0.0618</v>
      </c>
      <c r="F26" s="7">
        <f t="shared" si="0"/>
        <v>3446096.4</v>
      </c>
      <c r="G26" s="2">
        <f>F26*(1+'Total Benefit Cost'!$D$5)^(A26-$A$7)</f>
        <v>6042750.896887204</v>
      </c>
      <c r="J26" s="6"/>
    </row>
    <row r="27" spans="1:7" ht="15">
      <c r="A27" s="6">
        <v>2034</v>
      </c>
      <c r="B27" s="93">
        <f>' ATT 2 - VMT Calculations'!M29</f>
        <v>217902810</v>
      </c>
      <c r="C27" s="93">
        <f>' ATT 2 - VMT Calculations'!N29</f>
        <v>32560190</v>
      </c>
      <c r="D27" s="10">
        <v>0.0068</v>
      </c>
      <c r="E27" s="10">
        <v>0.0618</v>
      </c>
      <c r="F27" s="7">
        <f t="shared" si="0"/>
        <v>3493958.85</v>
      </c>
      <c r="G27" s="2">
        <f>F27*(1+'Total Benefit Cost'!$D$5)^(A27-$A$7)</f>
        <v>6310478.332457623</v>
      </c>
    </row>
    <row r="28" spans="1:7" ht="15">
      <c r="A28" s="6">
        <v>2035</v>
      </c>
      <c r="B28" s="93">
        <f>' ATT 2 - VMT Calculations'!M30</f>
        <v>220141537.5</v>
      </c>
      <c r="C28" s="93">
        <f>' ATT 2 - VMT Calculations'!N30</f>
        <v>32894712.5</v>
      </c>
      <c r="D28" s="10">
        <v>0.0068</v>
      </c>
      <c r="E28" s="10">
        <v>0.0618</v>
      </c>
      <c r="F28" s="7">
        <f>B28*D28+C28*E28</f>
        <v>3529855.6875</v>
      </c>
      <c r="G28" s="2">
        <f>F28*(1+'Total Benefit Cost'!$D$5)^(A28-$A$7)</f>
        <v>6566571.374374139</v>
      </c>
    </row>
    <row r="29" spans="1:7" ht="15">
      <c r="A29" s="6">
        <v>2036</v>
      </c>
      <c r="B29" s="93">
        <f>' ATT 2 - VMT Calculations'!M31</f>
        <v>223737813</v>
      </c>
      <c r="C29" s="93">
        <f>' ATT 2 - VMT Calculations'!N31</f>
        <v>33432087</v>
      </c>
      <c r="D29" s="10">
        <v>0.0068</v>
      </c>
      <c r="E29" s="10">
        <v>0.0618</v>
      </c>
      <c r="F29" s="7">
        <f>B29*D29+C29*E29</f>
        <v>3587520.1049999995</v>
      </c>
      <c r="G29" s="2">
        <f>F29*(1+'Total Benefit Cost'!$D$5)^(A29-$A$7)</f>
        <v>6874059.502547084</v>
      </c>
    </row>
    <row r="30" spans="1:7" ht="15">
      <c r="A30" s="6">
        <v>2037</v>
      </c>
      <c r="B30" s="93">
        <f>' ATT 2 - VMT Calculations'!M32</f>
        <v>225365235</v>
      </c>
      <c r="C30" s="93">
        <f>' ATT 2 - VMT Calculations'!N32</f>
        <v>33675265</v>
      </c>
      <c r="D30" s="10">
        <v>0.0068</v>
      </c>
      <c r="E30" s="10">
        <v>0.0618</v>
      </c>
      <c r="F30" s="7">
        <f>B30*D30+C30*E30</f>
        <v>3613614.975</v>
      </c>
      <c r="G30" s="2">
        <f>F30*(1+'Total Benefit Cost'!$D$5)^(A30-$A$7)</f>
        <v>7131781.7710651</v>
      </c>
    </row>
    <row r="31" spans="1:7" ht="15">
      <c r="A31" s="6">
        <v>2038</v>
      </c>
      <c r="B31" s="93">
        <f>' ATT 2 - VMT Calculations'!M33</f>
        <v>228350205</v>
      </c>
      <c r="C31" s="93">
        <f>' ATT 2 - VMT Calculations'!N33</f>
        <v>34121295</v>
      </c>
      <c r="D31" s="10">
        <v>0.0068</v>
      </c>
      <c r="E31" s="10">
        <v>0.0618</v>
      </c>
      <c r="F31" s="7">
        <f>B31*D31+C31*E31</f>
        <v>3661477.425</v>
      </c>
      <c r="G31" s="2">
        <f>F31*(1+'Total Benefit Cost'!$D$5)^(A31-$A$7)</f>
        <v>7443029.730477807</v>
      </c>
    </row>
    <row r="32" spans="2:3" ht="12.75">
      <c r="B32" s="93"/>
      <c r="C32" s="93"/>
    </row>
  </sheetData>
  <sheetProtection/>
  <mergeCells count="7">
    <mergeCell ref="A1:G1"/>
    <mergeCell ref="F3:F4"/>
    <mergeCell ref="G3:G4"/>
    <mergeCell ref="B2:C2"/>
    <mergeCell ref="D3:D4"/>
    <mergeCell ref="E3:E4"/>
    <mergeCell ref="B3:C3"/>
  </mergeCells>
  <printOptions/>
  <pageMargins left="0.7" right="0.7" top="0.75" bottom="0.75" header="0.3" footer="0.3"/>
  <pageSetup fitToHeight="1" fitToWidth="1" horizontalDpi="600" verticalDpi="600" orientation="portrait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3">
      <selection activeCell="L62" sqref="L61:L62"/>
    </sheetView>
  </sheetViews>
  <sheetFormatPr defaultColWidth="9.140625" defaultRowHeight="15"/>
  <cols>
    <col min="1" max="1" width="14.421875" style="48" customWidth="1"/>
    <col min="2" max="3" width="10.7109375" style="48" customWidth="1"/>
    <col min="4" max="4" width="11.7109375" style="48" customWidth="1"/>
    <col min="5" max="5" width="4.7109375" style="48" customWidth="1"/>
    <col min="6" max="8" width="10.7109375" style="48" customWidth="1"/>
    <col min="9" max="9" width="29.28125" style="48" customWidth="1"/>
    <col min="10" max="16384" width="9.140625" style="48" customWidth="1"/>
  </cols>
  <sheetData>
    <row r="1" spans="1:9" ht="12.75">
      <c r="A1" s="201" t="s">
        <v>151</v>
      </c>
      <c r="B1" s="201"/>
      <c r="C1" s="201"/>
      <c r="D1" s="201"/>
      <c r="E1" s="201"/>
      <c r="F1" s="201"/>
      <c r="G1" s="201"/>
      <c r="H1" s="201"/>
      <c r="I1" s="201"/>
    </row>
    <row r="2" spans="1:9" ht="12.75">
      <c r="A2" s="198" t="s">
        <v>107</v>
      </c>
      <c r="B2" s="198"/>
      <c r="C2" s="198"/>
      <c r="D2" s="198"/>
      <c r="E2" s="76"/>
      <c r="F2" s="198" t="s">
        <v>39</v>
      </c>
      <c r="G2" s="198"/>
      <c r="H2" s="198"/>
      <c r="I2" s="198"/>
    </row>
    <row r="3" spans="2:9" ht="13.5">
      <c r="B3" s="53" t="s">
        <v>38</v>
      </c>
      <c r="C3" s="196" t="s">
        <v>167</v>
      </c>
      <c r="D3" s="197"/>
      <c r="E3" s="55"/>
      <c r="G3" s="53" t="s">
        <v>37</v>
      </c>
      <c r="H3" s="196" t="str">
        <f>'ATT 3a wkst  (V of T) - Projec'!H3:I3</f>
        <v>DIFFERENCE</v>
      </c>
      <c r="I3" s="197"/>
    </row>
    <row r="4" spans="2:9" ht="13.5">
      <c r="B4" s="53" t="s">
        <v>36</v>
      </c>
      <c r="C4" s="196" t="s">
        <v>35</v>
      </c>
      <c r="D4" s="197"/>
      <c r="E4" s="55"/>
      <c r="G4" s="53" t="s">
        <v>34</v>
      </c>
      <c r="H4" s="196" t="s">
        <v>143</v>
      </c>
      <c r="I4" s="197"/>
    </row>
    <row r="5" spans="2:9" ht="13.5">
      <c r="B5" s="53" t="s">
        <v>33</v>
      </c>
      <c r="C5" s="196" t="s">
        <v>180</v>
      </c>
      <c r="D5" s="197"/>
      <c r="E5" s="55"/>
      <c r="G5" s="53" t="s">
        <v>32</v>
      </c>
      <c r="H5" s="196">
        <v>2016</v>
      </c>
      <c r="I5" s="197"/>
    </row>
    <row r="6" spans="2:9" ht="13.5">
      <c r="B6" s="53" t="s">
        <v>31</v>
      </c>
      <c r="C6" s="200">
        <v>41751</v>
      </c>
      <c r="D6" s="197"/>
      <c r="E6" s="55"/>
      <c r="G6" s="53" t="s">
        <v>30</v>
      </c>
      <c r="H6" s="65">
        <v>2016</v>
      </c>
      <c r="I6" s="84"/>
    </row>
    <row r="7" spans="7:9" ht="13.5">
      <c r="G7" s="53" t="s">
        <v>29</v>
      </c>
      <c r="H7" s="65">
        <v>11</v>
      </c>
      <c r="I7" s="83"/>
    </row>
    <row r="8" spans="1:9" ht="12.75">
      <c r="A8" s="198" t="s">
        <v>28</v>
      </c>
      <c r="B8" s="198"/>
      <c r="C8" s="198"/>
      <c r="D8" s="198"/>
      <c r="E8" s="198"/>
      <c r="F8" s="198"/>
      <c r="G8" s="198"/>
      <c r="H8" s="198"/>
      <c r="I8" s="198"/>
    </row>
    <row r="9" spans="1:9" ht="12.75">
      <c r="A9" s="80"/>
      <c r="B9" s="80"/>
      <c r="C9" s="80"/>
      <c r="D9" s="82" t="s">
        <v>106</v>
      </c>
      <c r="E9" s="80"/>
      <c r="F9" s="81">
        <v>0.03</v>
      </c>
      <c r="G9" s="80"/>
      <c r="H9" s="80"/>
      <c r="I9" s="80"/>
    </row>
    <row r="10" spans="1:9" ht="12.75">
      <c r="A10" s="199" t="s">
        <v>26</v>
      </c>
      <c r="B10" s="199"/>
      <c r="C10" s="199"/>
      <c r="D10" s="199"/>
      <c r="F10" s="199" t="s">
        <v>25</v>
      </c>
      <c r="G10" s="199"/>
      <c r="H10" s="199"/>
      <c r="I10" s="199"/>
    </row>
    <row r="11" spans="1:9" ht="12.75">
      <c r="A11" s="76"/>
      <c r="B11" s="76"/>
      <c r="C11" s="79" t="s">
        <v>105</v>
      </c>
      <c r="D11" s="76"/>
      <c r="F11" s="76"/>
      <c r="G11" s="76"/>
      <c r="H11" s="79" t="s">
        <v>105</v>
      </c>
      <c r="I11" s="76"/>
    </row>
    <row r="12" spans="1:9" ht="13.5">
      <c r="A12" s="76"/>
      <c r="B12" s="76"/>
      <c r="C12" s="53" t="s">
        <v>75</v>
      </c>
      <c r="D12" s="78">
        <v>55</v>
      </c>
      <c r="F12" s="76"/>
      <c r="G12" s="76"/>
      <c r="H12" s="53" t="s">
        <v>75</v>
      </c>
      <c r="I12" s="78">
        <v>55</v>
      </c>
    </row>
    <row r="13" spans="1:9" ht="13.5">
      <c r="A13" s="76"/>
      <c r="B13" s="76"/>
      <c r="C13" s="53" t="s">
        <v>74</v>
      </c>
      <c r="D13" s="78">
        <v>65</v>
      </c>
      <c r="F13" s="76"/>
      <c r="G13" s="76"/>
      <c r="H13" s="53" t="s">
        <v>74</v>
      </c>
      <c r="I13" s="78">
        <v>62</v>
      </c>
    </row>
    <row r="14" spans="1:9" ht="6" customHeight="1">
      <c r="A14" s="76"/>
      <c r="B14" s="76"/>
      <c r="C14" s="76"/>
      <c r="D14" s="75"/>
      <c r="F14" s="76"/>
      <c r="G14" s="77"/>
      <c r="H14" s="76"/>
      <c r="I14" s="75"/>
    </row>
    <row r="15" spans="3:9" ht="13.5">
      <c r="C15" s="53" t="s">
        <v>104</v>
      </c>
      <c r="D15" s="72">
        <v>3.42</v>
      </c>
      <c r="E15" s="74"/>
      <c r="F15" s="74"/>
      <c r="G15" s="74"/>
      <c r="H15" s="73" t="s">
        <v>104</v>
      </c>
      <c r="I15" s="72">
        <v>3.86</v>
      </c>
    </row>
    <row r="16" spans="3:9" ht="13.5">
      <c r="C16" s="53" t="s">
        <v>103</v>
      </c>
      <c r="D16" s="61"/>
      <c r="H16" s="53" t="s">
        <v>103</v>
      </c>
      <c r="I16" s="61"/>
    </row>
    <row r="17" spans="3:9" ht="13.5">
      <c r="C17" s="53" t="s">
        <v>75</v>
      </c>
      <c r="D17" s="69">
        <v>0.041</v>
      </c>
      <c r="E17" s="71"/>
      <c r="F17" s="71"/>
      <c r="G17" s="71"/>
      <c r="H17" s="70" t="s">
        <v>75</v>
      </c>
      <c r="I17" s="69">
        <v>0.166</v>
      </c>
    </row>
    <row r="18" spans="3:9" ht="13.5">
      <c r="C18" s="53" t="s">
        <v>74</v>
      </c>
      <c r="D18" s="69">
        <v>0.039</v>
      </c>
      <c r="E18" s="71"/>
      <c r="F18" s="71"/>
      <c r="G18" s="71"/>
      <c r="H18" s="70" t="s">
        <v>74</v>
      </c>
      <c r="I18" s="69">
        <v>0.158</v>
      </c>
    </row>
    <row r="19" spans="4:9" ht="6" customHeight="1">
      <c r="D19" s="61"/>
      <c r="I19" s="61"/>
    </row>
    <row r="20" spans="3:9" ht="13.5">
      <c r="C20" s="52" t="s">
        <v>102</v>
      </c>
      <c r="D20" s="66">
        <v>0.04</v>
      </c>
      <c r="E20" s="68"/>
      <c r="F20" s="68"/>
      <c r="G20" s="68"/>
      <c r="H20" s="67" t="s">
        <v>101</v>
      </c>
      <c r="I20" s="66">
        <v>0.05</v>
      </c>
    </row>
    <row r="21" spans="3:9" ht="13.5">
      <c r="C21" s="52" t="s">
        <v>100</v>
      </c>
      <c r="D21" s="61"/>
      <c r="H21" s="52" t="s">
        <v>100</v>
      </c>
      <c r="I21" s="61"/>
    </row>
    <row r="22" spans="4:9" ht="6" customHeight="1">
      <c r="D22" s="61"/>
      <c r="I22" s="61"/>
    </row>
    <row r="23" spans="3:9" ht="13.5">
      <c r="C23" s="52" t="s">
        <v>99</v>
      </c>
      <c r="D23" s="65">
        <v>10</v>
      </c>
      <c r="H23" s="52" t="s">
        <v>99</v>
      </c>
      <c r="I23" s="65">
        <v>8</v>
      </c>
    </row>
    <row r="24" spans="3:9" ht="13.5">
      <c r="C24" s="52" t="s">
        <v>98</v>
      </c>
      <c r="D24" s="58">
        <v>20000</v>
      </c>
      <c r="E24" s="60"/>
      <c r="F24" s="60"/>
      <c r="G24" s="60"/>
      <c r="H24" s="59" t="s">
        <v>98</v>
      </c>
      <c r="I24" s="58">
        <v>60000</v>
      </c>
    </row>
    <row r="25" spans="3:9" ht="13.5">
      <c r="C25" s="52" t="s">
        <v>97</v>
      </c>
      <c r="D25" s="58">
        <v>2000</v>
      </c>
      <c r="E25" s="60"/>
      <c r="F25" s="60"/>
      <c r="G25" s="60"/>
      <c r="H25" s="59" t="s">
        <v>97</v>
      </c>
      <c r="I25" s="58">
        <v>5000</v>
      </c>
    </row>
    <row r="26" spans="3:9" ht="13.5">
      <c r="C26" s="52" t="s">
        <v>96</v>
      </c>
      <c r="D26" s="62">
        <v>15000</v>
      </c>
      <c r="E26" s="64"/>
      <c r="F26" s="64"/>
      <c r="G26" s="64"/>
      <c r="H26" s="63" t="s">
        <v>96</v>
      </c>
      <c r="I26" s="62">
        <v>50000</v>
      </c>
    </row>
    <row r="27" spans="4:9" ht="13.5">
      <c r="D27" s="61"/>
      <c r="H27" s="52" t="s">
        <v>95</v>
      </c>
      <c r="I27" s="58">
        <v>200000</v>
      </c>
    </row>
    <row r="28" spans="4:9" ht="6" customHeight="1">
      <c r="D28" s="61"/>
      <c r="I28" s="61"/>
    </row>
    <row r="29" spans="3:9" ht="13.5">
      <c r="C29" s="52" t="s">
        <v>94</v>
      </c>
      <c r="D29" s="58">
        <v>1000</v>
      </c>
      <c r="E29" s="60"/>
      <c r="F29" s="60"/>
      <c r="G29" s="60"/>
      <c r="H29" s="59" t="s">
        <v>93</v>
      </c>
      <c r="I29" s="58">
        <v>1500</v>
      </c>
    </row>
    <row r="30" spans="1:9" ht="12.75">
      <c r="A30" s="198" t="s">
        <v>27</v>
      </c>
      <c r="B30" s="198"/>
      <c r="C30" s="198"/>
      <c r="D30" s="198"/>
      <c r="E30" s="198"/>
      <c r="F30" s="198"/>
      <c r="G30" s="198"/>
      <c r="H30" s="198"/>
      <c r="I30" s="198"/>
    </row>
    <row r="31" spans="1:9" ht="12.75">
      <c r="A31" s="199" t="s">
        <v>26</v>
      </c>
      <c r="B31" s="199"/>
      <c r="C31" s="199"/>
      <c r="D31" s="199"/>
      <c r="F31" s="199" t="s">
        <v>25</v>
      </c>
      <c r="G31" s="199"/>
      <c r="H31" s="199"/>
      <c r="I31" s="199"/>
    </row>
    <row r="32" spans="3:8" ht="12.75">
      <c r="C32" s="53" t="s">
        <v>92</v>
      </c>
      <c r="H32" s="53" t="s">
        <v>92</v>
      </c>
    </row>
    <row r="33" spans="3:9" ht="12.75">
      <c r="C33" s="53" t="s">
        <v>75</v>
      </c>
      <c r="D33" s="51">
        <f>D$15*D17</f>
        <v>0.14022</v>
      </c>
      <c r="H33" s="53" t="s">
        <v>75</v>
      </c>
      <c r="I33" s="51">
        <f>I$15*I17</f>
        <v>0.64076</v>
      </c>
    </row>
    <row r="34" spans="3:9" ht="12.75">
      <c r="C34" s="53" t="s">
        <v>74</v>
      </c>
      <c r="D34" s="51">
        <f>D$15*D18</f>
        <v>0.13338</v>
      </c>
      <c r="H34" s="53" t="s">
        <v>74</v>
      </c>
      <c r="I34" s="51">
        <f>I$15*I18</f>
        <v>0.60988</v>
      </c>
    </row>
    <row r="35" spans="3:8" ht="12.75">
      <c r="C35" s="53" t="s">
        <v>91</v>
      </c>
      <c r="H35" s="53" t="s">
        <v>91</v>
      </c>
    </row>
    <row r="36" ht="6" customHeight="1"/>
    <row r="37" spans="3:8" ht="12.75">
      <c r="C37" s="53" t="s">
        <v>90</v>
      </c>
      <c r="H37" s="53" t="s">
        <v>90</v>
      </c>
    </row>
    <row r="38" spans="3:9" ht="12.75">
      <c r="C38" s="53" t="s">
        <v>75</v>
      </c>
      <c r="D38" s="51">
        <f>D33+D$20</f>
        <v>0.18022000000000002</v>
      </c>
      <c r="H38" s="53" t="s">
        <v>75</v>
      </c>
      <c r="I38" s="51">
        <f>I33+I$20</f>
        <v>0.69076</v>
      </c>
    </row>
    <row r="39" spans="3:9" ht="12.75">
      <c r="C39" s="53" t="s">
        <v>74</v>
      </c>
      <c r="D39" s="51">
        <f>D34+D$20</f>
        <v>0.17338</v>
      </c>
      <c r="H39" s="53" t="s">
        <v>74</v>
      </c>
      <c r="I39" s="51">
        <f>I34+I$20</f>
        <v>0.65988</v>
      </c>
    </row>
    <row r="40" spans="3:8" ht="12.75">
      <c r="C40" s="53" t="s">
        <v>89</v>
      </c>
      <c r="H40" s="53" t="s">
        <v>89</v>
      </c>
    </row>
    <row r="41" ht="6" customHeight="1"/>
    <row r="42" spans="3:9" ht="12.75">
      <c r="C42" s="53" t="s">
        <v>88</v>
      </c>
      <c r="D42" s="57">
        <f>PMT($F$9,D23,-D24,D25)</f>
        <v>2170.149118892873</v>
      </c>
      <c r="H42" s="53" t="s">
        <v>88</v>
      </c>
      <c r="I42" s="57">
        <f>PMT($F$9,I23,-I24,I25)</f>
        <v>7985.101385498158</v>
      </c>
    </row>
    <row r="43" spans="3:9" ht="12.75">
      <c r="C43" s="56"/>
      <c r="D43" s="48" t="s">
        <v>87</v>
      </c>
      <c r="H43" s="56"/>
      <c r="I43" s="48" t="s">
        <v>87</v>
      </c>
    </row>
    <row r="44" spans="3:8" ht="6" customHeight="1">
      <c r="C44" s="56"/>
      <c r="H44" s="56"/>
    </row>
    <row r="45" spans="1:9" ht="12.75">
      <c r="A45" s="55"/>
      <c r="H45" s="52" t="s">
        <v>86</v>
      </c>
      <c r="I45" s="51">
        <f>I27*F9/(24*365)</f>
        <v>0.684931506849315</v>
      </c>
    </row>
    <row r="46" spans="8:9" ht="12.75">
      <c r="H46" s="52"/>
      <c r="I46" s="48" t="s">
        <v>85</v>
      </c>
    </row>
    <row r="47" spans="8:9" ht="6" customHeight="1">
      <c r="H47" s="52"/>
      <c r="I47" s="54"/>
    </row>
    <row r="48" spans="8:9" ht="12.75">
      <c r="H48" s="52" t="s">
        <v>84</v>
      </c>
      <c r="I48" s="54"/>
    </row>
    <row r="49" spans="8:9" ht="12.75">
      <c r="H49" s="53" t="s">
        <v>75</v>
      </c>
      <c r="I49" s="51">
        <f>I$45/I12</f>
        <v>0.012453300124533</v>
      </c>
    </row>
    <row r="50" spans="8:9" ht="12.75">
      <c r="H50" s="53" t="s">
        <v>74</v>
      </c>
      <c r="I50" s="51">
        <f>I$45/I13</f>
        <v>0.01104728236853734</v>
      </c>
    </row>
    <row r="51" ht="12.75">
      <c r="H51" s="53" t="s">
        <v>83</v>
      </c>
    </row>
    <row r="52" ht="6" customHeight="1"/>
    <row r="53" spans="3:9" ht="12.75">
      <c r="C53" s="52" t="s">
        <v>82</v>
      </c>
      <c r="D53" s="51">
        <f>D42/D26</f>
        <v>0.14467660792619152</v>
      </c>
      <c r="H53" s="52" t="s">
        <v>81</v>
      </c>
      <c r="I53" s="51">
        <f>I42/I26</f>
        <v>0.15970202770996317</v>
      </c>
    </row>
    <row r="54" spans="3:9" ht="12.75">
      <c r="C54" s="53" t="s">
        <v>80</v>
      </c>
      <c r="D54" s="51">
        <f>D29/D26</f>
        <v>0.06666666666666667</v>
      </c>
      <c r="H54" s="53" t="s">
        <v>80</v>
      </c>
      <c r="I54" s="51">
        <f>I29/I26</f>
        <v>0.03</v>
      </c>
    </row>
    <row r="55" spans="3:8" ht="6" customHeight="1">
      <c r="C55" s="52"/>
      <c r="H55" s="52"/>
    </row>
    <row r="56" spans="3:8" ht="12.75">
      <c r="C56" s="52" t="s">
        <v>79</v>
      </c>
      <c r="H56" s="52" t="s">
        <v>79</v>
      </c>
    </row>
    <row r="57" spans="3:9" ht="12.75">
      <c r="C57" s="53" t="s">
        <v>75</v>
      </c>
      <c r="D57" s="51">
        <f>D53+D54</f>
        <v>0.21134327459285818</v>
      </c>
      <c r="H57" s="53" t="s">
        <v>75</v>
      </c>
      <c r="I57" s="54">
        <f>I53+I54+I38</f>
        <v>0.8804620277099632</v>
      </c>
    </row>
    <row r="58" spans="3:9" ht="12.75">
      <c r="C58" s="53" t="s">
        <v>74</v>
      </c>
      <c r="D58" s="51">
        <f>D57</f>
        <v>0.21134327459285818</v>
      </c>
      <c r="H58" s="53" t="s">
        <v>74</v>
      </c>
      <c r="I58" s="54">
        <f>I53+I54+I39</f>
        <v>0.8495820277099632</v>
      </c>
    </row>
    <row r="59" spans="3:9" ht="12.75">
      <c r="C59" s="52" t="s">
        <v>78</v>
      </c>
      <c r="D59" s="54"/>
      <c r="H59" s="52" t="s">
        <v>77</v>
      </c>
      <c r="I59" s="54"/>
    </row>
    <row r="60" ht="6" customHeight="1"/>
    <row r="61" spans="3:8" ht="12.75">
      <c r="C61" s="52" t="s">
        <v>76</v>
      </c>
      <c r="H61" s="52" t="s">
        <v>76</v>
      </c>
    </row>
    <row r="62" spans="3:9" ht="12.75">
      <c r="C62" s="53" t="s">
        <v>75</v>
      </c>
      <c r="D62" s="51">
        <f>D38+D57</f>
        <v>0.3915632745928582</v>
      </c>
      <c r="H62" s="53" t="s">
        <v>75</v>
      </c>
      <c r="I62" s="51">
        <f>I38+I57</f>
        <v>1.5712220277099633</v>
      </c>
    </row>
    <row r="63" spans="3:9" ht="12.75">
      <c r="C63" s="53" t="s">
        <v>74</v>
      </c>
      <c r="D63" s="51">
        <f>D39+D58</f>
        <v>0.38472327459285816</v>
      </c>
      <c r="H63" s="53" t="s">
        <v>74</v>
      </c>
      <c r="I63" s="51">
        <f>I39+I58</f>
        <v>1.5094620277099633</v>
      </c>
    </row>
    <row r="64" spans="3:8" ht="12.75">
      <c r="C64" s="52" t="s">
        <v>73</v>
      </c>
      <c r="H64" s="52" t="s">
        <v>73</v>
      </c>
    </row>
    <row r="65" ht="6" customHeight="1"/>
    <row r="66" spans="3:9" ht="12.75">
      <c r="C66" s="52" t="s">
        <v>72</v>
      </c>
      <c r="D66" s="51">
        <f>D62-D63</f>
        <v>0.006840000000000068</v>
      </c>
      <c r="H66" s="52" t="s">
        <v>72</v>
      </c>
      <c r="I66" s="51">
        <f>I62-I63</f>
        <v>0.06176000000000004</v>
      </c>
    </row>
    <row r="67" spans="1:9" ht="12.75">
      <c r="A67" s="49"/>
      <c r="B67" s="49"/>
      <c r="C67" s="50" t="s">
        <v>51</v>
      </c>
      <c r="D67" s="49"/>
      <c r="E67" s="49"/>
      <c r="F67" s="49"/>
      <c r="G67" s="49"/>
      <c r="H67" s="50" t="s">
        <v>51</v>
      </c>
      <c r="I67" s="49"/>
    </row>
  </sheetData>
  <sheetProtection/>
  <mergeCells count="16">
    <mergeCell ref="A1:I1"/>
    <mergeCell ref="A2:D2"/>
    <mergeCell ref="F2:I2"/>
    <mergeCell ref="C3:D3"/>
    <mergeCell ref="H3:I3"/>
    <mergeCell ref="C4:D4"/>
    <mergeCell ref="H4:I4"/>
    <mergeCell ref="A30:I30"/>
    <mergeCell ref="A31:D31"/>
    <mergeCell ref="F31:I31"/>
    <mergeCell ref="C5:D5"/>
    <mergeCell ref="H5:I5"/>
    <mergeCell ref="C6:D6"/>
    <mergeCell ref="A8:I8"/>
    <mergeCell ref="A10:D10"/>
    <mergeCell ref="F10:I10"/>
  </mergeCells>
  <printOptions/>
  <pageMargins left="0.7" right="0.7" top="0.75" bottom="0.75" header="0.3" footer="0.3"/>
  <pageSetup fitToHeight="1" fitToWidth="1" horizontalDpi="600" verticalDpi="600" orientation="portrait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="85" zoomScaleNormal="85" zoomScalePageLayoutView="0" workbookViewId="0" topLeftCell="A1">
      <selection activeCell="D37" sqref="D37"/>
    </sheetView>
  </sheetViews>
  <sheetFormatPr defaultColWidth="8.8515625" defaultRowHeight="15"/>
  <cols>
    <col min="1" max="3" width="10.7109375" style="19" customWidth="1"/>
    <col min="4" max="4" width="12.7109375" style="19" customWidth="1"/>
    <col min="5" max="5" width="4.7109375" style="19" customWidth="1"/>
    <col min="6" max="6" width="17.00390625" style="19" bestFit="1" customWidth="1"/>
    <col min="7" max="7" width="5.7109375" style="19" customWidth="1"/>
    <col min="8" max="8" width="12.140625" style="19" customWidth="1"/>
    <col min="9" max="9" width="29.57421875" style="19" customWidth="1"/>
    <col min="10" max="16384" width="8.8515625" style="19" customWidth="1"/>
  </cols>
  <sheetData>
    <row r="1" spans="1:9" ht="12.75">
      <c r="A1" s="208" t="s">
        <v>152</v>
      </c>
      <c r="B1" s="208"/>
      <c r="C1" s="208"/>
      <c r="D1" s="208"/>
      <c r="E1" s="208"/>
      <c r="F1" s="208"/>
      <c r="G1" s="208"/>
      <c r="H1" s="208"/>
      <c r="I1" s="208"/>
    </row>
    <row r="2" spans="1:9" ht="12.75">
      <c r="A2" s="205" t="s">
        <v>40</v>
      </c>
      <c r="B2" s="205"/>
      <c r="C2" s="205"/>
      <c r="D2" s="205"/>
      <c r="E2" s="33"/>
      <c r="F2" s="205" t="s">
        <v>39</v>
      </c>
      <c r="G2" s="205"/>
      <c r="H2" s="205"/>
      <c r="I2" s="205"/>
    </row>
    <row r="3" spans="2:9" ht="18">
      <c r="B3" s="20" t="s">
        <v>38</v>
      </c>
      <c r="C3" s="202" t="s">
        <v>181</v>
      </c>
      <c r="D3" s="203"/>
      <c r="E3" s="32"/>
      <c r="G3" s="20" t="s">
        <v>37</v>
      </c>
      <c r="H3" s="202" t="str">
        <f>'ATT 4 - Owne and Oper Costs'!H3:I3</f>
        <v>DIFFERENCE</v>
      </c>
      <c r="I3" s="203"/>
    </row>
    <row r="4" spans="2:9" ht="18">
      <c r="B4" s="20" t="s">
        <v>36</v>
      </c>
      <c r="C4" s="202" t="s">
        <v>35</v>
      </c>
      <c r="D4" s="203"/>
      <c r="E4" s="32"/>
      <c r="G4" s="20" t="s">
        <v>34</v>
      </c>
      <c r="H4" s="202" t="s">
        <v>143</v>
      </c>
      <c r="I4" s="203"/>
    </row>
    <row r="5" spans="2:9" ht="18">
      <c r="B5" s="20" t="s">
        <v>33</v>
      </c>
      <c r="C5" s="202" t="s">
        <v>180</v>
      </c>
      <c r="D5" s="203"/>
      <c r="E5" s="32"/>
      <c r="G5" s="20" t="s">
        <v>32</v>
      </c>
      <c r="H5" s="202" t="s">
        <v>144</v>
      </c>
      <c r="I5" s="203"/>
    </row>
    <row r="6" spans="2:9" ht="18">
      <c r="B6" s="20" t="s">
        <v>31</v>
      </c>
      <c r="C6" s="206">
        <f>'ATT 4 - Owne and Oper Costs'!C6:D6</f>
        <v>41751</v>
      </c>
      <c r="D6" s="203"/>
      <c r="E6" s="32"/>
      <c r="G6" s="20" t="s">
        <v>30</v>
      </c>
      <c r="H6" s="30">
        <v>2016</v>
      </c>
      <c r="I6" s="31"/>
    </row>
    <row r="7" spans="7:9" ht="18">
      <c r="G7" s="20" t="s">
        <v>29</v>
      </c>
      <c r="H7" s="30">
        <v>11</v>
      </c>
      <c r="I7" s="29"/>
    </row>
    <row r="9" spans="1:9" ht="12.75">
      <c r="A9" s="205" t="s">
        <v>28</v>
      </c>
      <c r="B9" s="205"/>
      <c r="C9" s="205"/>
      <c r="D9" s="205"/>
      <c r="E9" s="205"/>
      <c r="F9" s="205"/>
      <c r="G9" s="205"/>
      <c r="H9" s="205"/>
      <c r="I9" s="205"/>
    </row>
    <row r="11" spans="4:6" ht="12.75">
      <c r="D11" s="20" t="s">
        <v>150</v>
      </c>
      <c r="F11" s="19" t="s">
        <v>68</v>
      </c>
    </row>
    <row r="12" spans="4:7" ht="18">
      <c r="D12" s="20" t="s">
        <v>53</v>
      </c>
      <c r="F12" s="90">
        <v>9200000</v>
      </c>
      <c r="G12" s="28"/>
    </row>
    <row r="13" spans="4:6" ht="18">
      <c r="D13" s="20" t="s">
        <v>108</v>
      </c>
      <c r="F13" s="90">
        <v>85408</v>
      </c>
    </row>
    <row r="14" ht="12.75">
      <c r="F14" s="91"/>
    </row>
    <row r="16" spans="1:9" ht="12.75">
      <c r="A16" s="207" t="s">
        <v>67</v>
      </c>
      <c r="B16" s="207"/>
      <c r="C16" s="207"/>
      <c r="D16" s="207"/>
      <c r="F16" s="207" t="s">
        <v>66</v>
      </c>
      <c r="G16" s="207"/>
      <c r="H16" s="207"/>
      <c r="I16" s="207"/>
    </row>
    <row r="18" spans="3:9" ht="18">
      <c r="C18" s="20" t="s">
        <v>115</v>
      </c>
      <c r="D18" s="27">
        <v>1</v>
      </c>
      <c r="H18" s="20" t="s">
        <v>115</v>
      </c>
      <c r="I18" s="27">
        <v>1</v>
      </c>
    </row>
    <row r="19" spans="3:9" ht="18" hidden="1">
      <c r="C19" s="19" t="s">
        <v>65</v>
      </c>
      <c r="D19" s="26"/>
      <c r="H19" s="19" t="s">
        <v>65</v>
      </c>
      <c r="I19" s="26"/>
    </row>
    <row r="20" spans="1:9" ht="67.5" customHeight="1" hidden="1">
      <c r="A20" s="204" t="s">
        <v>64</v>
      </c>
      <c r="B20" s="204"/>
      <c r="C20" s="204"/>
      <c r="D20" s="204"/>
      <c r="E20" s="204"/>
      <c r="F20" s="204"/>
      <c r="G20" s="204"/>
      <c r="H20" s="204"/>
      <c r="I20" s="204"/>
    </row>
    <row r="21" spans="2:9" ht="7.5" customHeight="1" hidden="1">
      <c r="B21" s="25"/>
      <c r="C21" s="25"/>
      <c r="D21" s="25"/>
      <c r="E21" s="25"/>
      <c r="F21" s="25"/>
      <c r="G21" s="25"/>
      <c r="H21" s="25"/>
      <c r="I21" s="25"/>
    </row>
    <row r="22" spans="3:9" ht="18" hidden="1">
      <c r="C22" s="20" t="s">
        <v>63</v>
      </c>
      <c r="D22" s="24"/>
      <c r="H22" s="20" t="s">
        <v>63</v>
      </c>
      <c r="I22" s="24"/>
    </row>
    <row r="23" spans="3:9" ht="18" hidden="1">
      <c r="C23" s="20" t="s">
        <v>62</v>
      </c>
      <c r="D23" s="24"/>
      <c r="H23" s="20" t="s">
        <v>62</v>
      </c>
      <c r="I23" s="24"/>
    </row>
    <row r="24" spans="3:9" ht="18" hidden="1">
      <c r="C24" s="20" t="s">
        <v>61</v>
      </c>
      <c r="D24" s="24"/>
      <c r="H24" s="20" t="s">
        <v>61</v>
      </c>
      <c r="I24" s="24"/>
    </row>
    <row r="26" spans="1:9" ht="12.75">
      <c r="A26" s="205" t="s">
        <v>27</v>
      </c>
      <c r="B26" s="205"/>
      <c r="C26" s="205"/>
      <c r="D26" s="205"/>
      <c r="E26" s="205"/>
      <c r="F26" s="205"/>
      <c r="G26" s="205"/>
      <c r="H26" s="205"/>
      <c r="I26" s="205"/>
    </row>
    <row r="28" spans="3:9" ht="12.75" hidden="1">
      <c r="C28" s="20" t="s">
        <v>115</v>
      </c>
      <c r="D28" s="23">
        <f>D18*H7</f>
        <v>11</v>
      </c>
      <c r="H28" s="20" t="s">
        <v>115</v>
      </c>
      <c r="I28" s="23">
        <f>+I18*H7</f>
        <v>11</v>
      </c>
    </row>
    <row r="29" spans="3:8" ht="12.75" hidden="1">
      <c r="C29" s="20"/>
      <c r="H29" s="20"/>
    </row>
    <row r="30" ht="12.75" hidden="1"/>
    <row r="31" spans="3:8" ht="12.75">
      <c r="C31" s="20" t="s">
        <v>60</v>
      </c>
      <c r="H31" s="20" t="s">
        <v>60</v>
      </c>
    </row>
    <row r="32" spans="3:9" ht="12.75">
      <c r="C32" s="20" t="s">
        <v>53</v>
      </c>
      <c r="D32" s="89">
        <v>0.0248050248</v>
      </c>
      <c r="H32" s="20" t="s">
        <v>53</v>
      </c>
      <c r="I32" s="89">
        <v>0.010712</v>
      </c>
    </row>
    <row r="33" spans="3:9" ht="12.75">
      <c r="C33" s="20" t="s">
        <v>108</v>
      </c>
      <c r="D33" s="89">
        <v>0.118</v>
      </c>
      <c r="H33" s="20" t="s">
        <v>108</v>
      </c>
      <c r="I33" s="89">
        <v>0.08</v>
      </c>
    </row>
    <row r="34" spans="3:8" ht="12.75">
      <c r="C34" s="20" t="s">
        <v>59</v>
      </c>
      <c r="H34" s="20" t="s">
        <v>59</v>
      </c>
    </row>
    <row r="36" spans="3:8" ht="12.75">
      <c r="C36" s="20" t="s">
        <v>58</v>
      </c>
      <c r="H36" s="20" t="s">
        <v>58</v>
      </c>
    </row>
    <row r="37" spans="3:9" ht="12.75">
      <c r="C37" s="20" t="s">
        <v>53</v>
      </c>
      <c r="D37" s="21">
        <f>D32*$F12/1000000</f>
        <v>0.22820622816</v>
      </c>
      <c r="H37" s="20" t="s">
        <v>53</v>
      </c>
      <c r="I37" s="21">
        <f>I32*$F12/1000000</f>
        <v>0.0985504</v>
      </c>
    </row>
    <row r="38" spans="3:9" ht="12.75">
      <c r="C38" s="20" t="s">
        <v>108</v>
      </c>
      <c r="D38" s="21">
        <f>D33*$F13/1000000</f>
        <v>0.010078144</v>
      </c>
      <c r="H38" s="20" t="s">
        <v>108</v>
      </c>
      <c r="I38" s="21">
        <f>I33*$F13/1000000</f>
        <v>0.00683264</v>
      </c>
    </row>
    <row r="39" spans="3:8" ht="12.75">
      <c r="C39" s="20" t="s">
        <v>57</v>
      </c>
      <c r="H39" s="20" t="s">
        <v>57</v>
      </c>
    </row>
    <row r="41" spans="3:9" ht="12.75">
      <c r="C41" s="20" t="s">
        <v>56</v>
      </c>
      <c r="D41" s="22">
        <f>SUM(D37:D38)</f>
        <v>0.23828437216</v>
      </c>
      <c r="H41" s="20" t="s">
        <v>56</v>
      </c>
      <c r="I41" s="22">
        <f>SUM(I37:I38)</f>
        <v>0.10538304</v>
      </c>
    </row>
    <row r="42" spans="3:8" ht="12.75">
      <c r="C42" s="20" t="s">
        <v>55</v>
      </c>
      <c r="H42" s="20" t="s">
        <v>55</v>
      </c>
    </row>
    <row r="44" ht="12.75">
      <c r="D44" s="20" t="s">
        <v>54</v>
      </c>
    </row>
    <row r="45" spans="4:6" ht="12.75">
      <c r="D45" s="20" t="s">
        <v>53</v>
      </c>
      <c r="F45" s="21">
        <f>D37-I37</f>
        <v>0.12965582816</v>
      </c>
    </row>
    <row r="46" spans="4:6" ht="12.75">
      <c r="D46" s="20" t="s">
        <v>154</v>
      </c>
      <c r="F46" s="21">
        <f>D38-I38</f>
        <v>0.0032455040000000006</v>
      </c>
    </row>
    <row r="47" spans="4:6" ht="12.75">
      <c r="D47" s="20" t="s">
        <v>153</v>
      </c>
      <c r="F47" s="21">
        <f>D41-I41</f>
        <v>0.13290133216</v>
      </c>
    </row>
    <row r="48" ht="12.75">
      <c r="D48" s="20" t="s">
        <v>51</v>
      </c>
    </row>
  </sheetData>
  <sheetProtection/>
  <mergeCells count="15">
    <mergeCell ref="A1:I1"/>
    <mergeCell ref="A2:D2"/>
    <mergeCell ref="F2:I2"/>
    <mergeCell ref="C3:D3"/>
    <mergeCell ref="H3:I3"/>
    <mergeCell ref="C4:D4"/>
    <mergeCell ref="H4:I4"/>
    <mergeCell ref="A20:I20"/>
    <mergeCell ref="A26:I26"/>
    <mergeCell ref="C5:D5"/>
    <mergeCell ref="H5:I5"/>
    <mergeCell ref="C6:D6"/>
    <mergeCell ref="A9:I9"/>
    <mergeCell ref="A16:D16"/>
    <mergeCell ref="F16:I16"/>
  </mergeCells>
  <printOptions/>
  <pageMargins left="0.7" right="0.7" top="0.75" bottom="0.75" header="0.3" footer="0.3"/>
  <pageSetup fitToHeight="1" fitToWidth="1" horizontalDpi="600" verticalDpi="600" orientation="portrait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selection activeCell="B43" sqref="B43"/>
    </sheetView>
  </sheetViews>
  <sheetFormatPr defaultColWidth="9.140625" defaultRowHeight="15"/>
  <cols>
    <col min="1" max="1" width="9.140625" style="6" customWidth="1"/>
    <col min="2" max="2" width="18.421875" style="6" customWidth="1"/>
    <col min="3" max="4" width="15.140625" style="6" hidden="1" customWidth="1"/>
    <col min="5" max="5" width="13.28125" style="129" customWidth="1"/>
    <col min="6" max="6" width="14.00390625" style="35" hidden="1" customWidth="1"/>
    <col min="7" max="8" width="15.140625" style="8" customWidth="1"/>
    <col min="9" max="9" width="9.140625" style="6" customWidth="1"/>
    <col min="10" max="10" width="10.57421875" style="6" customWidth="1"/>
    <col min="11" max="11" width="13.8515625" style="7" bestFit="1" customWidth="1"/>
    <col min="12" max="16384" width="9.140625" style="6" customWidth="1"/>
  </cols>
  <sheetData>
    <row r="1" spans="1:8" ht="15.75">
      <c r="A1" s="209" t="s">
        <v>71</v>
      </c>
      <c r="B1" s="209"/>
      <c r="C1" s="209"/>
      <c r="D1" s="209"/>
      <c r="E1" s="209"/>
      <c r="F1" s="209"/>
      <c r="G1" s="209"/>
      <c r="H1" s="209"/>
    </row>
    <row r="2" spans="3:11" ht="12.75">
      <c r="C2" s="193"/>
      <c r="D2" s="193"/>
      <c r="G2" s="6"/>
      <c r="H2" s="6"/>
      <c r="K2" s="6"/>
    </row>
    <row r="3" spans="1:8" s="11" customFormat="1" ht="12.75" customHeight="1">
      <c r="A3" s="14" t="s">
        <v>0</v>
      </c>
      <c r="B3" s="119"/>
      <c r="C3" s="195" t="s">
        <v>45</v>
      </c>
      <c r="D3" s="195"/>
      <c r="E3" s="211" t="s">
        <v>146</v>
      </c>
      <c r="F3" s="212" t="s">
        <v>50</v>
      </c>
      <c r="G3" s="213" t="s">
        <v>182</v>
      </c>
      <c r="H3" s="210" t="s">
        <v>114</v>
      </c>
    </row>
    <row r="4" spans="2:11" ht="12.75">
      <c r="B4" s="123" t="s">
        <v>147</v>
      </c>
      <c r="C4" s="12" t="s">
        <v>15</v>
      </c>
      <c r="D4" s="12" t="s">
        <v>16</v>
      </c>
      <c r="E4" s="212"/>
      <c r="F4" s="212"/>
      <c r="G4" s="191"/>
      <c r="H4" s="191"/>
      <c r="K4" s="6"/>
    </row>
    <row r="5" spans="1:11" ht="15">
      <c r="A5" s="6">
        <v>2014</v>
      </c>
      <c r="B5" s="126">
        <f>C5+D5</f>
        <v>183558500</v>
      </c>
      <c r="C5" s="94">
        <f>' ATT 2 - VMT Calculations'!I9+' ATT 2 - VMT Calculations'!J9</f>
        <v>91779250</v>
      </c>
      <c r="D5" s="94">
        <f>' ATT 2 - VMT Calculations'!K9+' ATT 2 - VMT Calculations'!L9</f>
        <v>91779250</v>
      </c>
      <c r="E5" s="129">
        <f>'ATT 5a - accdt  Cost VMT'!$F$47</f>
        <v>0.13290133216</v>
      </c>
      <c r="F5" s="10">
        <f>'x - accdt  South Cost VMT'!$F$47</f>
        <v>0</v>
      </c>
      <c r="G5" s="7">
        <f aca="true" t="shared" si="0" ref="G5:G15">C5*E5+D5*F5</f>
        <v>12197584.58964568</v>
      </c>
      <c r="H5" s="2">
        <f>G5*(1+'Total Benefit Cost'!$D$5)^(A5-$A$7)</f>
        <v>11497393.335512942</v>
      </c>
      <c r="K5" s="6"/>
    </row>
    <row r="6" spans="1:11" ht="15">
      <c r="A6" s="6">
        <v>2015</v>
      </c>
      <c r="B6" s="126">
        <f>C6+D6</f>
        <v>186989500</v>
      </c>
      <c r="C6" s="94">
        <f>' ATT 2 - VMT Calculations'!I10+' ATT 2 - VMT Calculations'!J10</f>
        <v>93494750</v>
      </c>
      <c r="D6" s="94">
        <f>' ATT 2 - VMT Calculations'!K10+' ATT 2 - VMT Calculations'!L10</f>
        <v>93494750</v>
      </c>
      <c r="E6" s="129">
        <f>'ATT 5a - accdt  Cost VMT'!$F$47</f>
        <v>0.13290133216</v>
      </c>
      <c r="F6" s="10">
        <f>'x - accdt  South Cost VMT'!$F$47</f>
        <v>0</v>
      </c>
      <c r="G6" s="7">
        <f t="shared" si="0"/>
        <v>12425576.82496616</v>
      </c>
      <c r="H6" s="2">
        <f>G6*(1+'Total Benefit Cost'!$D$5)^(A6-$A$7)</f>
        <v>12063666.820355495</v>
      </c>
      <c r="K6" s="6"/>
    </row>
    <row r="7" spans="1:11" ht="15">
      <c r="A7" s="6">
        <v>2016</v>
      </c>
      <c r="B7" s="126">
        <f>C7+D7</f>
        <v>190942200</v>
      </c>
      <c r="C7" s="94">
        <f>' ATT 2 - VMT Calculations'!I11+' ATT 2 - VMT Calculations'!J11</f>
        <v>95471100</v>
      </c>
      <c r="D7" s="94">
        <f>' ATT 2 - VMT Calculations'!K11+' ATT 2 - VMT Calculations'!L11</f>
        <v>95471100</v>
      </c>
      <c r="E7" s="129">
        <f>'ATT 5a - accdt  Cost VMT'!$F$47</f>
        <v>0.13290133216</v>
      </c>
      <c r="F7" s="10">
        <f>'x - accdt  South Cost VMT'!$F$47</f>
        <v>0</v>
      </c>
      <c r="G7" s="7">
        <f t="shared" si="0"/>
        <v>12688236.372780576</v>
      </c>
      <c r="H7" s="2">
        <f>G7*(1+'Total Benefit Cost'!$D$5)^(A7-$A$7)</f>
        <v>12688236.372780576</v>
      </c>
      <c r="K7" s="6"/>
    </row>
    <row r="8" spans="1:11" ht="15">
      <c r="A8" s="6">
        <v>2017</v>
      </c>
      <c r="B8" s="126">
        <f aca="true" t="shared" si="1" ref="B8:B27">C8+D8</f>
        <v>194709250</v>
      </c>
      <c r="C8" s="94">
        <f>' ATT 2 - VMT Calculations'!I12+' ATT 2 - VMT Calculations'!J12</f>
        <v>97354625</v>
      </c>
      <c r="D8" s="94">
        <f>' ATT 2 - VMT Calculations'!K12+' ATT 2 - VMT Calculations'!L12</f>
        <v>97354625</v>
      </c>
      <c r="E8" s="129">
        <f>'ATT 5a - accdt  Cost VMT'!$F$47</f>
        <v>0.13290133216</v>
      </c>
      <c r="F8" s="10">
        <f>'x - accdt  South Cost VMT'!$F$47</f>
        <v>0</v>
      </c>
      <c r="G8" s="7">
        <f t="shared" si="0"/>
        <v>12938559.35443724</v>
      </c>
      <c r="H8" s="2">
        <f>G8*(1+'Total Benefit Cost'!$D$5)^(A8-$A$7)</f>
        <v>13326716.135070357</v>
      </c>
      <c r="K8" s="6"/>
    </row>
    <row r="9" spans="1:11" ht="15">
      <c r="A9" s="6">
        <v>2018</v>
      </c>
      <c r="B9" s="126">
        <f t="shared" si="1"/>
        <v>198140250</v>
      </c>
      <c r="C9" s="94">
        <f>' ATT 2 - VMT Calculations'!I13+' ATT 2 - VMT Calculations'!J13</f>
        <v>99070125</v>
      </c>
      <c r="D9" s="94">
        <f>' ATT 2 - VMT Calculations'!K13+' ATT 2 - VMT Calculations'!L13</f>
        <v>99070125</v>
      </c>
      <c r="E9" s="129">
        <f>'ATT 5a - accdt  Cost VMT'!$F$47</f>
        <v>0.13290133216</v>
      </c>
      <c r="F9" s="10">
        <f>'x - accdt  South Cost VMT'!$F$47</f>
        <v>0</v>
      </c>
      <c r="G9" s="7">
        <f t="shared" si="0"/>
        <v>13166551.58975772</v>
      </c>
      <c r="H9" s="2">
        <f>G9*(1+'Total Benefit Cost'!$D$5)^(A9-$A$7)</f>
        <v>13968394.581573965</v>
      </c>
      <c r="K9" s="6"/>
    </row>
    <row r="10" spans="1:11" ht="15">
      <c r="A10" s="6">
        <v>2019</v>
      </c>
      <c r="B10" s="126">
        <f t="shared" si="1"/>
        <v>201571250</v>
      </c>
      <c r="C10" s="94">
        <f>' ATT 2 - VMT Calculations'!I14+' ATT 2 - VMT Calculations'!J14</f>
        <v>100785625</v>
      </c>
      <c r="D10" s="94">
        <f>' ATT 2 - VMT Calculations'!K14+' ATT 2 - VMT Calculations'!L14</f>
        <v>100785625</v>
      </c>
      <c r="E10" s="129">
        <f>'ATT 5a - accdt  Cost VMT'!$F$47</f>
        <v>0.13290133216</v>
      </c>
      <c r="F10" s="10">
        <f>'x - accdt  South Cost VMT'!$F$47</f>
        <v>0</v>
      </c>
      <c r="G10" s="7">
        <f t="shared" si="0"/>
        <v>13394543.8250782</v>
      </c>
      <c r="H10" s="2">
        <f>G10*(1+'Total Benefit Cost'!$D$5)^(A10-$A$7)</f>
        <v>14636579.690346226</v>
      </c>
      <c r="K10" s="6"/>
    </row>
    <row r="11" spans="1:11" ht="15">
      <c r="A11" s="6">
        <v>2020</v>
      </c>
      <c r="B11" s="126">
        <f t="shared" si="1"/>
        <v>205563900</v>
      </c>
      <c r="C11" s="94">
        <f>' ATT 2 - VMT Calculations'!I15+' ATT 2 - VMT Calculations'!J15</f>
        <v>102781950</v>
      </c>
      <c r="D11" s="94">
        <f>' ATT 2 - VMT Calculations'!K15+' ATT 2 - VMT Calculations'!L15</f>
        <v>102781950</v>
      </c>
      <c r="E11" s="129">
        <f>'ATT 5a - accdt  Cost VMT'!$F$47</f>
        <v>0.13290133216</v>
      </c>
      <c r="F11" s="10">
        <f>'x - accdt  South Cost VMT'!$F$47</f>
        <v>0</v>
      </c>
      <c r="G11" s="7">
        <f t="shared" si="0"/>
        <v>13659858.077002512</v>
      </c>
      <c r="H11" s="2">
        <f>G11*(1+'Total Benefit Cost'!$D$5)^(A11-$A$7)</f>
        <v>15374290.609015984</v>
      </c>
      <c r="K11" s="6"/>
    </row>
    <row r="12" spans="1:11" ht="15">
      <c r="A12" s="6">
        <v>2021</v>
      </c>
      <c r="B12" s="126">
        <f t="shared" si="1"/>
        <v>208433250</v>
      </c>
      <c r="C12" s="94">
        <f>' ATT 2 - VMT Calculations'!I16+' ATT 2 - VMT Calculations'!J16</f>
        <v>104216625</v>
      </c>
      <c r="D12" s="94">
        <f>' ATT 2 - VMT Calculations'!K16+' ATT 2 - VMT Calculations'!L16</f>
        <v>104216625</v>
      </c>
      <c r="E12" s="129">
        <f>'ATT 5a - accdt  Cost VMT'!$F$47</f>
        <v>0.13290133216</v>
      </c>
      <c r="F12" s="10">
        <f>'x - accdt  South Cost VMT'!$F$47</f>
        <v>0</v>
      </c>
      <c r="G12" s="7">
        <f t="shared" si="0"/>
        <v>13850528.29571916</v>
      </c>
      <c r="H12" s="2">
        <f>G12*(1+'Total Benefit Cost'!$D$5)^(A12-$A$7)</f>
        <v>16056558.368585784</v>
      </c>
      <c r="K12" s="6"/>
    </row>
    <row r="13" spans="1:11" ht="15">
      <c r="A13" s="6">
        <v>2022</v>
      </c>
      <c r="B13" s="126">
        <f t="shared" si="1"/>
        <v>211864250</v>
      </c>
      <c r="C13" s="94">
        <f>' ATT 2 - VMT Calculations'!I17+' ATT 2 - VMT Calculations'!J17</f>
        <v>105932125</v>
      </c>
      <c r="D13" s="94">
        <f>' ATT 2 - VMT Calculations'!K17+' ATT 2 - VMT Calculations'!L17</f>
        <v>105932125</v>
      </c>
      <c r="E13" s="129">
        <f>'ATT 5a - accdt  Cost VMT'!$F$47</f>
        <v>0.13290133216</v>
      </c>
      <c r="F13" s="10">
        <f>'x - accdt  South Cost VMT'!$F$47</f>
        <v>0</v>
      </c>
      <c r="G13" s="7">
        <f t="shared" si="0"/>
        <v>14078520.53103964</v>
      </c>
      <c r="H13" s="2">
        <f>G13*(1+'Total Benefit Cost'!$D$5)^(A13-$A$7)</f>
        <v>16810489.77181856</v>
      </c>
      <c r="K13" s="6"/>
    </row>
    <row r="14" spans="1:11" ht="15">
      <c r="A14" s="6">
        <v>2023</v>
      </c>
      <c r="B14" s="126">
        <f t="shared" si="1"/>
        <v>215295250</v>
      </c>
      <c r="C14" s="94">
        <f>' ATT 2 - VMT Calculations'!I18+' ATT 2 - VMT Calculations'!J18</f>
        <v>107647625</v>
      </c>
      <c r="D14" s="94">
        <f>' ATT 2 - VMT Calculations'!K18+' ATT 2 - VMT Calculations'!L18</f>
        <v>107647625</v>
      </c>
      <c r="E14" s="129">
        <f>'ATT 5a - accdt  Cost VMT'!$F$47</f>
        <v>0.13290133216</v>
      </c>
      <c r="F14" s="10">
        <f>'x - accdt  South Cost VMT'!$F$47</f>
        <v>0</v>
      </c>
      <c r="G14" s="7">
        <f t="shared" si="0"/>
        <v>14306512.766360119</v>
      </c>
      <c r="H14" s="2">
        <f>G14*(1+'Total Benefit Cost'!$D$5)^(A14-$A$7)</f>
        <v>17595206.156713568</v>
      </c>
      <c r="K14" s="6"/>
    </row>
    <row r="15" spans="1:11" ht="15">
      <c r="A15" s="6">
        <v>2024</v>
      </c>
      <c r="B15" s="126">
        <f t="shared" si="1"/>
        <v>218465400</v>
      </c>
      <c r="C15" s="94">
        <f>' ATT 2 - VMT Calculations'!I19+' ATT 2 - VMT Calculations'!J19</f>
        <v>109232700</v>
      </c>
      <c r="D15" s="94">
        <f>' ATT 2 - VMT Calculations'!K19+' ATT 2 - VMT Calculations'!L19</f>
        <v>109232700</v>
      </c>
      <c r="E15" s="129">
        <f>'ATT 5a - accdt  Cost VMT'!$F$47</f>
        <v>0.13290133216</v>
      </c>
      <c r="F15" s="10">
        <f>'x - accdt  South Cost VMT'!$F$47</f>
        <v>0</v>
      </c>
      <c r="G15" s="7">
        <f t="shared" si="0"/>
        <v>14517171.345433632</v>
      </c>
      <c r="H15" s="2">
        <f>G15*(1+'Total Benefit Cost'!$D$5)^(A15-$A$7)</f>
        <v>18389918.32677293</v>
      </c>
      <c r="K15" s="6"/>
    </row>
    <row r="16" spans="1:11" ht="15">
      <c r="A16" s="6">
        <v>2025</v>
      </c>
      <c r="B16" s="126">
        <f t="shared" si="1"/>
        <v>221299500</v>
      </c>
      <c r="C16" s="94">
        <f>' ATT 2 - VMT Calculations'!I20+' ATT 2 - VMT Calculations'!J20</f>
        <v>110649750</v>
      </c>
      <c r="D16" s="94">
        <f>' ATT 2 - VMT Calculations'!K20+' ATT 2 - VMT Calculations'!L20</f>
        <v>110649750</v>
      </c>
      <c r="E16" s="129">
        <f>'ATT 5a - accdt  Cost VMT'!$F$47</f>
        <v>0.13290133216</v>
      </c>
      <c r="F16" s="10">
        <f>'x - accdt  South Cost VMT'!$F$47</f>
        <v>0</v>
      </c>
      <c r="G16" s="7">
        <v>0</v>
      </c>
      <c r="H16" s="2">
        <f>G16*(1+'Total Benefit Cost'!$D$5)^(A16-$A$7)</f>
        <v>0</v>
      </c>
      <c r="K16" s="6"/>
    </row>
    <row r="17" spans="1:11" ht="15">
      <c r="A17" s="6">
        <v>2026</v>
      </c>
      <c r="B17" s="126">
        <f t="shared" si="1"/>
        <v>224730500</v>
      </c>
      <c r="C17" s="94">
        <f>' ATT 2 - VMT Calculations'!I21+' ATT 2 - VMT Calculations'!J21</f>
        <v>112365250</v>
      </c>
      <c r="D17" s="94">
        <f>' ATT 2 - VMT Calculations'!K21+' ATT 2 - VMT Calculations'!L21</f>
        <v>112365250</v>
      </c>
      <c r="E17" s="129">
        <f>'ATT 5a - accdt  Cost VMT'!$F$47</f>
        <v>0.13290133216</v>
      </c>
      <c r="F17" s="10">
        <f>'x - accdt  South Cost VMT'!$F$47</f>
        <v>0</v>
      </c>
      <c r="G17" s="7">
        <v>0</v>
      </c>
      <c r="H17" s="2">
        <f>G17*(1+'Total Benefit Cost'!$D$5)^(A17-$A$7)</f>
        <v>0</v>
      </c>
      <c r="K17" s="6"/>
    </row>
    <row r="18" spans="1:11" ht="15">
      <c r="A18" s="6">
        <v>2027</v>
      </c>
      <c r="B18" s="126">
        <f t="shared" si="1"/>
        <v>228161500</v>
      </c>
      <c r="C18" s="94">
        <f>' ATT 2 - VMT Calculations'!I22+' ATT 2 - VMT Calculations'!J22</f>
        <v>114080750</v>
      </c>
      <c r="D18" s="94">
        <f>' ATT 2 - VMT Calculations'!K22+' ATT 2 - VMT Calculations'!L22</f>
        <v>114080750</v>
      </c>
      <c r="E18" s="129">
        <f>'ATT 5a - accdt  Cost VMT'!$F$47</f>
        <v>0.13290133216</v>
      </c>
      <c r="F18" s="10">
        <f>'x - accdt  South Cost VMT'!$F$47</f>
        <v>0</v>
      </c>
      <c r="G18" s="7">
        <v>0</v>
      </c>
      <c r="H18" s="2">
        <f>G18*(1+'Total Benefit Cost'!$D$5)^(A18-$A$7)</f>
        <v>0</v>
      </c>
      <c r="K18" s="6"/>
    </row>
    <row r="19" spans="1:11" ht="15">
      <c r="A19" s="6">
        <v>2028</v>
      </c>
      <c r="B19" s="126">
        <f t="shared" si="1"/>
        <v>232227000</v>
      </c>
      <c r="C19" s="94">
        <f>' ATT 2 - VMT Calculations'!I23+' ATT 2 - VMT Calculations'!J23</f>
        <v>116113500</v>
      </c>
      <c r="D19" s="94">
        <f>' ATT 2 - VMT Calculations'!K23+' ATT 2 - VMT Calculations'!L23</f>
        <v>116113500</v>
      </c>
      <c r="E19" s="129">
        <v>0</v>
      </c>
      <c r="F19" s="10">
        <f>'x - accdt  South Cost VMT'!$F$47</f>
        <v>0</v>
      </c>
      <c r="G19" s="7">
        <v>0</v>
      </c>
      <c r="H19" s="2">
        <f>G19*(1+'Total Benefit Cost'!$D$5)^(A19-$A$7)</f>
        <v>0</v>
      </c>
      <c r="K19" s="6"/>
    </row>
    <row r="20" spans="1:11" ht="15">
      <c r="A20" s="6">
        <v>2029</v>
      </c>
      <c r="B20" s="126">
        <f t="shared" si="1"/>
        <v>235023500</v>
      </c>
      <c r="C20" s="94">
        <f>' ATT 2 - VMT Calculations'!I24+' ATT 2 - VMT Calculations'!J24</f>
        <v>117511750</v>
      </c>
      <c r="D20" s="94">
        <f>' ATT 2 - VMT Calculations'!K24+' ATT 2 - VMT Calculations'!L24</f>
        <v>117511750</v>
      </c>
      <c r="E20" s="129">
        <v>0</v>
      </c>
      <c r="F20" s="10">
        <f>'x - accdt  South Cost VMT'!$F$47</f>
        <v>0</v>
      </c>
      <c r="G20" s="7">
        <f aca="true" t="shared" si="2" ref="G20:G27">C20*E20+D20*F20</f>
        <v>0</v>
      </c>
      <c r="H20" s="2">
        <f>G20*(1+'Total Benefit Cost'!$D$5)^(A20-$A$7)</f>
        <v>0</v>
      </c>
      <c r="K20" s="6"/>
    </row>
    <row r="21" spans="1:11" ht="15">
      <c r="A21" s="6">
        <v>2030</v>
      </c>
      <c r="B21" s="126">
        <f t="shared" si="1"/>
        <v>237596750</v>
      </c>
      <c r="C21" s="94">
        <f>' ATT 2 - VMT Calculations'!I25+' ATT 2 - VMT Calculations'!J25</f>
        <v>118798375</v>
      </c>
      <c r="D21" s="94">
        <f>' ATT 2 - VMT Calculations'!K25+' ATT 2 - VMT Calculations'!L25</f>
        <v>118798375</v>
      </c>
      <c r="E21" s="129">
        <v>0</v>
      </c>
      <c r="F21" s="10">
        <f>'x - accdt  South Cost VMT'!$F$47</f>
        <v>0</v>
      </c>
      <c r="G21" s="7">
        <f t="shared" si="2"/>
        <v>0</v>
      </c>
      <c r="H21" s="2">
        <f>G21*(1+'Total Benefit Cost'!$D$5)^(A21-$A$7)</f>
        <v>0</v>
      </c>
      <c r="K21" s="6"/>
    </row>
    <row r="22" spans="1:11" ht="15">
      <c r="A22" s="6">
        <v>2031</v>
      </c>
      <c r="B22" s="126">
        <f t="shared" si="1"/>
        <v>241027750</v>
      </c>
      <c r="C22" s="94">
        <f>' ATT 2 - VMT Calculations'!I26+' ATT 2 - VMT Calculations'!J26</f>
        <v>120513875</v>
      </c>
      <c r="D22" s="94">
        <f>' ATT 2 - VMT Calculations'!K26+' ATT 2 - VMT Calculations'!L26</f>
        <v>120513875</v>
      </c>
      <c r="E22" s="129">
        <v>0</v>
      </c>
      <c r="F22" s="10">
        <f>'x - accdt  South Cost VMT'!$F$47</f>
        <v>0</v>
      </c>
      <c r="G22" s="7">
        <f t="shared" si="2"/>
        <v>0</v>
      </c>
      <c r="H22" s="2">
        <f>G22*(1+'Total Benefit Cost'!$D$5)^(A22-$A$7)</f>
        <v>0</v>
      </c>
      <c r="K22" s="6"/>
    </row>
    <row r="23" spans="1:11" ht="15">
      <c r="A23" s="6">
        <v>2032</v>
      </c>
      <c r="B23" s="126">
        <f t="shared" si="1"/>
        <v>244268400</v>
      </c>
      <c r="C23" s="94">
        <f>' ATT 2 - VMT Calculations'!I27+' ATT 2 - VMT Calculations'!J27</f>
        <v>122134200</v>
      </c>
      <c r="D23" s="94">
        <f>' ATT 2 - VMT Calculations'!K27+' ATT 2 - VMT Calculations'!L27</f>
        <v>122134200</v>
      </c>
      <c r="E23" s="129">
        <v>0</v>
      </c>
      <c r="F23" s="10">
        <f>'x - accdt  South Cost VMT'!$F$47</f>
        <v>0</v>
      </c>
      <c r="G23" s="7">
        <f t="shared" si="2"/>
        <v>0</v>
      </c>
      <c r="H23" s="2">
        <f>G23*(1+'Total Benefit Cost'!$D$5)^(A23-$A$7)</f>
        <v>0</v>
      </c>
      <c r="K23" s="6"/>
    </row>
    <row r="24" spans="1:11" ht="15">
      <c r="A24" s="6">
        <v>2033</v>
      </c>
      <c r="B24" s="126">
        <f t="shared" si="1"/>
        <v>247032000</v>
      </c>
      <c r="C24" s="94">
        <f>' ATT 2 - VMT Calculations'!I28+' ATT 2 - VMT Calculations'!J28</f>
        <v>123516000</v>
      </c>
      <c r="D24" s="94">
        <f>' ATT 2 - VMT Calculations'!K28+' ATT 2 - VMT Calculations'!L28</f>
        <v>123516000</v>
      </c>
      <c r="E24" s="129">
        <v>0</v>
      </c>
      <c r="F24" s="10">
        <f>'x - accdt  South Cost VMT'!$F$47</f>
        <v>0</v>
      </c>
      <c r="G24" s="7">
        <f t="shared" si="2"/>
        <v>0</v>
      </c>
      <c r="H24" s="2">
        <f>G24*(1+'Total Benefit Cost'!$D$5)^(A24-$A$7)</f>
        <v>0</v>
      </c>
      <c r="K24" s="6"/>
    </row>
    <row r="25" spans="1:11" ht="15">
      <c r="A25" s="6">
        <v>2034</v>
      </c>
      <c r="B25" s="126">
        <f t="shared" si="1"/>
        <v>250463000</v>
      </c>
      <c r="C25" s="94">
        <f>' ATT 2 - VMT Calculations'!I29+' ATT 2 - VMT Calculations'!J29</f>
        <v>125231500</v>
      </c>
      <c r="D25" s="94">
        <f>' ATT 2 - VMT Calculations'!K29+' ATT 2 - VMT Calculations'!L29</f>
        <v>125231500</v>
      </c>
      <c r="E25" s="129">
        <v>0</v>
      </c>
      <c r="F25" s="10">
        <f>'x - accdt  South Cost VMT'!$F$47</f>
        <v>0</v>
      </c>
      <c r="G25" s="7">
        <f t="shared" si="2"/>
        <v>0</v>
      </c>
      <c r="H25" s="2">
        <f>G25*(1+'Total Benefit Cost'!$D$5)^(A25-$A$7)</f>
        <v>0</v>
      </c>
      <c r="K25" s="6"/>
    </row>
    <row r="26" spans="1:11" ht="15">
      <c r="A26" s="6">
        <v>2035</v>
      </c>
      <c r="B26" s="126">
        <f t="shared" si="1"/>
        <v>253036250</v>
      </c>
      <c r="C26" s="94">
        <f>' ATT 2 - VMT Calculations'!I30+' ATT 2 - VMT Calculations'!J30</f>
        <v>126518125</v>
      </c>
      <c r="D26" s="94">
        <f>' ATT 2 - VMT Calculations'!K30+' ATT 2 - VMT Calculations'!L30</f>
        <v>126518125</v>
      </c>
      <c r="E26" s="129">
        <v>0</v>
      </c>
      <c r="F26" s="10">
        <f>'x - accdt  South Cost VMT'!$F$47</f>
        <v>0</v>
      </c>
      <c r="G26" s="7">
        <f t="shared" si="2"/>
        <v>0</v>
      </c>
      <c r="H26" s="2">
        <f>G26*(1+'Total Benefit Cost'!$D$5)^(A26-$A$7)</f>
        <v>0</v>
      </c>
      <c r="K26" s="6"/>
    </row>
    <row r="27" spans="1:8" ht="15">
      <c r="A27" s="6">
        <v>2036</v>
      </c>
      <c r="B27" s="126">
        <f t="shared" si="1"/>
        <v>257169900</v>
      </c>
      <c r="C27" s="94">
        <f>' ATT 2 - VMT Calculations'!I31+' ATT 2 - VMT Calculations'!J31</f>
        <v>128584950</v>
      </c>
      <c r="D27" s="94">
        <f>' ATT 2 - VMT Calculations'!K31+' ATT 2 - VMT Calculations'!L31</f>
        <v>128584950</v>
      </c>
      <c r="E27" s="129">
        <v>0</v>
      </c>
      <c r="F27" s="10">
        <f>'x - accdt  South Cost VMT'!$F$47</f>
        <v>0</v>
      </c>
      <c r="G27" s="7">
        <f t="shared" si="2"/>
        <v>0</v>
      </c>
      <c r="H27" s="2">
        <f>G27*(1+'Total Benefit Cost'!$D$5)^(A27-$A$7)</f>
        <v>0</v>
      </c>
    </row>
    <row r="36" ht="12.75">
      <c r="B36" s="173" t="s">
        <v>189</v>
      </c>
    </row>
  </sheetData>
  <sheetProtection/>
  <mergeCells count="7">
    <mergeCell ref="A1:H1"/>
    <mergeCell ref="H3:H4"/>
    <mergeCell ref="C2:D2"/>
    <mergeCell ref="C3:D3"/>
    <mergeCell ref="E3:E4"/>
    <mergeCell ref="F3:F4"/>
    <mergeCell ref="G3:G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">
      <selection activeCell="A2" sqref="A2:D2"/>
    </sheetView>
  </sheetViews>
  <sheetFormatPr defaultColWidth="8.8515625" defaultRowHeight="15"/>
  <cols>
    <col min="1" max="3" width="10.7109375" style="19" customWidth="1"/>
    <col min="4" max="4" width="12.7109375" style="19" customWidth="1"/>
    <col min="5" max="5" width="4.7109375" style="19" customWidth="1"/>
    <col min="6" max="6" width="15.7109375" style="19" bestFit="1" customWidth="1"/>
    <col min="7" max="7" width="5.7109375" style="19" customWidth="1"/>
    <col min="8" max="8" width="12.140625" style="19" customWidth="1"/>
    <col min="9" max="9" width="12.7109375" style="19" customWidth="1"/>
    <col min="10" max="16384" width="8.8515625" style="19" customWidth="1"/>
  </cols>
  <sheetData>
    <row r="1" ht="12.75">
      <c r="A1" s="34" t="s">
        <v>188</v>
      </c>
    </row>
    <row r="2" spans="1:9" ht="12.75">
      <c r="A2" s="205" t="s">
        <v>40</v>
      </c>
      <c r="B2" s="205"/>
      <c r="C2" s="205"/>
      <c r="D2" s="205"/>
      <c r="E2" s="33"/>
      <c r="F2" s="205" t="s">
        <v>39</v>
      </c>
      <c r="G2" s="205"/>
      <c r="H2" s="205"/>
      <c r="I2" s="205"/>
    </row>
    <row r="3" spans="2:9" ht="18">
      <c r="B3" s="20" t="s">
        <v>38</v>
      </c>
      <c r="C3" s="202"/>
      <c r="D3" s="203"/>
      <c r="E3" s="32"/>
      <c r="G3" s="20" t="s">
        <v>37</v>
      </c>
      <c r="H3" s="202"/>
      <c r="I3" s="203"/>
    </row>
    <row r="4" spans="2:9" ht="18">
      <c r="B4" s="20" t="s">
        <v>36</v>
      </c>
      <c r="C4" s="202"/>
      <c r="D4" s="203"/>
      <c r="E4" s="32"/>
      <c r="G4" s="20" t="s">
        <v>34</v>
      </c>
      <c r="H4" s="202"/>
      <c r="I4" s="203"/>
    </row>
    <row r="5" spans="2:9" ht="18">
      <c r="B5" s="20" t="s">
        <v>33</v>
      </c>
      <c r="C5" s="202"/>
      <c r="D5" s="203"/>
      <c r="E5" s="32"/>
      <c r="G5" s="20" t="s">
        <v>32</v>
      </c>
      <c r="H5" s="202"/>
      <c r="I5" s="203"/>
    </row>
    <row r="6" spans="2:9" ht="18">
      <c r="B6" s="20" t="s">
        <v>31</v>
      </c>
      <c r="C6" s="206"/>
      <c r="D6" s="203"/>
      <c r="E6" s="32"/>
      <c r="G6" s="20" t="s">
        <v>30</v>
      </c>
      <c r="H6" s="30"/>
      <c r="I6" s="31"/>
    </row>
    <row r="7" spans="7:9" ht="18">
      <c r="G7" s="20" t="s">
        <v>29</v>
      </c>
      <c r="H7" s="30"/>
      <c r="I7" s="29"/>
    </row>
    <row r="9" spans="1:9" ht="12.75">
      <c r="A9" s="205" t="s">
        <v>28</v>
      </c>
      <c r="B9" s="205"/>
      <c r="C9" s="205"/>
      <c r="D9" s="205"/>
      <c r="E9" s="205"/>
      <c r="F9" s="205"/>
      <c r="G9" s="205"/>
      <c r="H9" s="205"/>
      <c r="I9" s="205"/>
    </row>
    <row r="11" spans="4:6" ht="12.75">
      <c r="D11" s="20" t="s">
        <v>69</v>
      </c>
      <c r="F11" s="19" t="s">
        <v>68</v>
      </c>
    </row>
    <row r="12" spans="4:7" ht="18">
      <c r="D12" s="20" t="s">
        <v>53</v>
      </c>
      <c r="F12" s="90">
        <v>0</v>
      </c>
      <c r="G12" s="28"/>
    </row>
    <row r="13" spans="4:6" ht="18">
      <c r="D13" s="20" t="s">
        <v>108</v>
      </c>
      <c r="F13" s="90">
        <v>0</v>
      </c>
    </row>
    <row r="16" spans="1:9" ht="12.75">
      <c r="A16" s="207" t="s">
        <v>67</v>
      </c>
      <c r="B16" s="207"/>
      <c r="C16" s="207"/>
      <c r="D16" s="207"/>
      <c r="F16" s="207" t="s">
        <v>66</v>
      </c>
      <c r="G16" s="207"/>
      <c r="H16" s="207"/>
      <c r="I16" s="207"/>
    </row>
    <row r="18" spans="3:9" ht="18">
      <c r="C18" s="20" t="s">
        <v>115</v>
      </c>
      <c r="D18" s="27">
        <v>1</v>
      </c>
      <c r="H18" s="20" t="s">
        <v>115</v>
      </c>
      <c r="I18" s="27">
        <v>1</v>
      </c>
    </row>
    <row r="19" spans="3:9" ht="18" hidden="1">
      <c r="C19" s="19" t="s">
        <v>65</v>
      </c>
      <c r="D19" s="26"/>
      <c r="H19" s="19" t="s">
        <v>65</v>
      </c>
      <c r="I19" s="26"/>
    </row>
    <row r="20" spans="1:9" ht="67.5" customHeight="1" hidden="1">
      <c r="A20" s="204" t="s">
        <v>64</v>
      </c>
      <c r="B20" s="204"/>
      <c r="C20" s="204"/>
      <c r="D20" s="204"/>
      <c r="E20" s="204"/>
      <c r="F20" s="204"/>
      <c r="G20" s="204"/>
      <c r="H20" s="204"/>
      <c r="I20" s="204"/>
    </row>
    <row r="21" spans="2:9" ht="7.5" customHeight="1" hidden="1">
      <c r="B21" s="25"/>
      <c r="C21" s="25"/>
      <c r="D21" s="25"/>
      <c r="E21" s="25"/>
      <c r="F21" s="25"/>
      <c r="G21" s="25"/>
      <c r="H21" s="25"/>
      <c r="I21" s="25"/>
    </row>
    <row r="22" spans="3:9" ht="18" hidden="1">
      <c r="C22" s="20" t="s">
        <v>63</v>
      </c>
      <c r="D22" s="24"/>
      <c r="H22" s="20" t="s">
        <v>63</v>
      </c>
      <c r="I22" s="24"/>
    </row>
    <row r="23" spans="3:9" ht="18" hidden="1">
      <c r="C23" s="20" t="s">
        <v>62</v>
      </c>
      <c r="D23" s="24"/>
      <c r="H23" s="20" t="s">
        <v>62</v>
      </c>
      <c r="I23" s="24"/>
    </row>
    <row r="24" spans="3:9" ht="18" hidden="1">
      <c r="C24" s="20" t="s">
        <v>61</v>
      </c>
      <c r="D24" s="24"/>
      <c r="H24" s="20" t="s">
        <v>61</v>
      </c>
      <c r="I24" s="24"/>
    </row>
    <row r="26" spans="1:9" ht="12.75">
      <c r="A26" s="205" t="s">
        <v>27</v>
      </c>
      <c r="B26" s="205"/>
      <c r="C26" s="205"/>
      <c r="D26" s="205"/>
      <c r="E26" s="205"/>
      <c r="F26" s="205"/>
      <c r="G26" s="205"/>
      <c r="H26" s="205"/>
      <c r="I26" s="205"/>
    </row>
    <row r="27" ht="12.75" hidden="1"/>
    <row r="28" spans="3:9" ht="12.75" hidden="1">
      <c r="C28" s="20" t="s">
        <v>115</v>
      </c>
      <c r="D28" s="23">
        <f>D18</f>
        <v>1</v>
      </c>
      <c r="H28" s="20" t="s">
        <v>115</v>
      </c>
      <c r="I28" s="23">
        <f>I18</f>
        <v>1</v>
      </c>
    </row>
    <row r="29" spans="3:8" ht="12.75" hidden="1">
      <c r="C29" s="20"/>
      <c r="H29" s="20"/>
    </row>
    <row r="31" spans="3:8" ht="12.75">
      <c r="C31" s="20" t="s">
        <v>60</v>
      </c>
      <c r="H31" s="20" t="s">
        <v>60</v>
      </c>
    </row>
    <row r="32" spans="3:9" ht="12.75">
      <c r="C32" s="20" t="s">
        <v>53</v>
      </c>
      <c r="D32" s="89">
        <v>0</v>
      </c>
      <c r="H32" s="20" t="s">
        <v>53</v>
      </c>
      <c r="I32" s="89">
        <v>0</v>
      </c>
    </row>
    <row r="33" spans="3:9" ht="12.75">
      <c r="C33" s="20" t="s">
        <v>108</v>
      </c>
      <c r="D33" s="89">
        <v>0</v>
      </c>
      <c r="H33" s="20" t="s">
        <v>108</v>
      </c>
      <c r="I33" s="89">
        <v>0</v>
      </c>
    </row>
    <row r="34" spans="3:8" ht="12.75">
      <c r="C34" s="20" t="s">
        <v>59</v>
      </c>
      <c r="H34" s="20" t="s">
        <v>59</v>
      </c>
    </row>
    <row r="36" spans="3:8" ht="12.75">
      <c r="C36" s="20" t="s">
        <v>58</v>
      </c>
      <c r="H36" s="20" t="s">
        <v>58</v>
      </c>
    </row>
    <row r="37" spans="3:9" ht="12.75">
      <c r="C37" s="20" t="s">
        <v>53</v>
      </c>
      <c r="D37" s="21">
        <f>D32*$F12/1000000</f>
        <v>0</v>
      </c>
      <c r="H37" s="20" t="s">
        <v>53</v>
      </c>
      <c r="I37" s="21">
        <f>I32*$F12/1000000</f>
        <v>0</v>
      </c>
    </row>
    <row r="38" spans="3:9" ht="12.75">
      <c r="C38" s="20" t="s">
        <v>108</v>
      </c>
      <c r="D38" s="21">
        <f>D33*$F13/1000000</f>
        <v>0</v>
      </c>
      <c r="H38" s="20" t="s">
        <v>108</v>
      </c>
      <c r="I38" s="21">
        <f>I33*$F13/1000000</f>
        <v>0</v>
      </c>
    </row>
    <row r="39" spans="3:8" ht="12.75">
      <c r="C39" s="20" t="s">
        <v>57</v>
      </c>
      <c r="H39" s="20" t="s">
        <v>57</v>
      </c>
    </row>
    <row r="41" spans="3:9" ht="12.75">
      <c r="C41" s="20" t="s">
        <v>56</v>
      </c>
      <c r="D41" s="22">
        <f>SUM(D37:D38)</f>
        <v>0</v>
      </c>
      <c r="H41" s="20" t="s">
        <v>56</v>
      </c>
      <c r="I41" s="22">
        <f>SUM(I37:I38)</f>
        <v>0</v>
      </c>
    </row>
    <row r="42" spans="3:8" ht="12.75">
      <c r="C42" s="20" t="s">
        <v>55</v>
      </c>
      <c r="H42" s="20" t="s">
        <v>55</v>
      </c>
    </row>
    <row r="44" ht="12.75">
      <c r="D44" s="20" t="s">
        <v>54</v>
      </c>
    </row>
    <row r="45" spans="4:6" ht="12.75">
      <c r="D45" s="20" t="s">
        <v>53</v>
      </c>
      <c r="F45" s="21">
        <f>D37-I37</f>
        <v>0</v>
      </c>
    </row>
    <row r="46" spans="4:6" ht="12.75">
      <c r="D46" s="20" t="s">
        <v>108</v>
      </c>
      <c r="F46" s="21">
        <f>D38-I38</f>
        <v>0</v>
      </c>
    </row>
    <row r="47" spans="4:6" ht="12.75">
      <c r="D47" s="20" t="s">
        <v>52</v>
      </c>
      <c r="F47" s="21">
        <f>D41-I41</f>
        <v>0</v>
      </c>
    </row>
    <row r="48" ht="12.75">
      <c r="D48" s="20" t="s">
        <v>51</v>
      </c>
    </row>
  </sheetData>
  <sheetProtection/>
  <mergeCells count="14">
    <mergeCell ref="A2:D2"/>
    <mergeCell ref="F2:I2"/>
    <mergeCell ref="C3:D3"/>
    <mergeCell ref="H3:I3"/>
    <mergeCell ref="C4:D4"/>
    <mergeCell ref="H4:I4"/>
    <mergeCell ref="A20:I20"/>
    <mergeCell ref="A26:I26"/>
    <mergeCell ref="C5:D5"/>
    <mergeCell ref="H5:I5"/>
    <mergeCell ref="C6:D6"/>
    <mergeCell ref="A9:I9"/>
    <mergeCell ref="A16:D16"/>
    <mergeCell ref="F16:I16"/>
  </mergeCells>
  <printOptions/>
  <pageMargins left="0.7" right="0.7" top="0.75" bottom="0.75" header="0.3" footer="0.3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2014-08-06T14:04:24Z</dcterms:modified>
  <cp:category/>
  <cp:version/>
  <cp:contentType/>
  <cp:contentStatus/>
</cp:coreProperties>
</file>